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30" windowWidth="1029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<sst xmlns="http://schemas.openxmlformats.org/spreadsheetml/2006/main" count="631" uniqueCount="147">
  <si>
    <t>Arteaga Construction</t>
  </si>
  <si>
    <t>Belonger Corporation</t>
  </si>
  <si>
    <t>Hurt Electric</t>
  </si>
  <si>
    <t>Time &amp; Material Contractors</t>
  </si>
  <si>
    <r>
      <t>Hurt Electric</t>
    </r>
    <r>
      <rPr>
        <vertAlign val="superscript"/>
        <sz val="10"/>
        <color indexed="8"/>
        <rFont val="Arial"/>
        <family val="2"/>
      </rPr>
      <t>1</t>
    </r>
  </si>
  <si>
    <r>
      <t xml:space="preserve">Arteaga Construction - HVAC </t>
    </r>
    <r>
      <rPr>
        <vertAlign val="superscript"/>
        <sz val="10"/>
        <color indexed="8"/>
        <rFont val="Arial"/>
        <family val="2"/>
      </rPr>
      <t>1</t>
    </r>
  </si>
  <si>
    <r>
      <t xml:space="preserve">Belonger Corporation - Plumbing </t>
    </r>
    <r>
      <rPr>
        <vertAlign val="superscript"/>
        <sz val="10"/>
        <color indexed="8"/>
        <rFont val="Arial"/>
        <family val="2"/>
      </rPr>
      <t>1</t>
    </r>
  </si>
  <si>
    <r>
      <t xml:space="preserve">Brenner Corporation - HVAC </t>
    </r>
    <r>
      <rPr>
        <vertAlign val="superscript"/>
        <sz val="10"/>
        <color indexed="8"/>
        <rFont val="Arial"/>
        <family val="2"/>
      </rPr>
      <t>2</t>
    </r>
  </si>
  <si>
    <r>
      <t xml:space="preserve">JF Cook Company - Glazing </t>
    </r>
    <r>
      <rPr>
        <vertAlign val="superscript"/>
        <sz val="10"/>
        <color indexed="8"/>
        <rFont val="Arial"/>
        <family val="2"/>
      </rPr>
      <t>1</t>
    </r>
  </si>
  <si>
    <r>
      <t>Milwaukee Iron Works</t>
    </r>
    <r>
      <rPr>
        <vertAlign val="superscript"/>
        <sz val="10"/>
        <color indexed="8"/>
        <rFont val="Arial"/>
        <family val="2"/>
      </rPr>
      <t>1</t>
    </r>
  </si>
  <si>
    <r>
      <t xml:space="preserve">Schwister Electric </t>
    </r>
    <r>
      <rPr>
        <vertAlign val="superscript"/>
        <sz val="10"/>
        <color indexed="8"/>
        <rFont val="Arial"/>
        <family val="2"/>
      </rPr>
      <t>1</t>
    </r>
  </si>
  <si>
    <t>$ Expended</t>
  </si>
  <si>
    <t>DBE %</t>
  </si>
  <si>
    <t>2010 DBE Achievements</t>
  </si>
  <si>
    <t>County-Wide Expenditures to DBE by Race/Gender</t>
  </si>
  <si>
    <t>Construction</t>
  </si>
  <si>
    <t>Professional Service - Construction</t>
  </si>
  <si>
    <t>Professional Service</t>
  </si>
  <si>
    <t>LF Green Development</t>
  </si>
  <si>
    <t>Soils &amp; Engineering Services</t>
  </si>
  <si>
    <t>Standing Stone Design</t>
  </si>
  <si>
    <t>Cervantes Consulting Engineers</t>
  </si>
  <si>
    <t>PSJ Engineering</t>
  </si>
  <si>
    <t>Himalayan Consultants</t>
  </si>
  <si>
    <t>EMCS</t>
  </si>
  <si>
    <t>Gestra Engineering</t>
  </si>
  <si>
    <t>M Squared Engineering</t>
  </si>
  <si>
    <t>Spann &amp; Associates</t>
  </si>
  <si>
    <t>$ Committed</t>
  </si>
  <si>
    <t>Continuum Architects</t>
  </si>
  <si>
    <t>Quorum Architects</t>
  </si>
  <si>
    <t>K Singh &amp; Associates</t>
  </si>
  <si>
    <t>Cedarburg Science</t>
  </si>
  <si>
    <t>White Water Associates</t>
  </si>
  <si>
    <t>Zoe Engineering</t>
  </si>
  <si>
    <t>Toki &amp; Associates</t>
  </si>
  <si>
    <t>Boer Architects</t>
  </si>
  <si>
    <t>Waterborne Design</t>
  </si>
  <si>
    <t>Dakota Intertek</t>
  </si>
  <si>
    <t>Great Lakes Contracting</t>
  </si>
  <si>
    <t>George Harris Trucking</t>
  </si>
  <si>
    <t>Con-Cor Company</t>
  </si>
  <si>
    <t>B&amp;D Contractors</t>
  </si>
  <si>
    <t>Jaramillo Contractors</t>
  </si>
  <si>
    <t>Dairyland Electric</t>
  </si>
  <si>
    <t>Marek Landscaping</t>
  </si>
  <si>
    <t>Eaton's Asphalt</t>
  </si>
  <si>
    <t>Schwister Electric</t>
  </si>
  <si>
    <t>Midwestern Roofing &amp; Construction</t>
  </si>
  <si>
    <t>Vista Design &amp; Construction</t>
  </si>
  <si>
    <t>Heider &amp; Bott</t>
  </si>
  <si>
    <t>Milwaukee Iron Works</t>
  </si>
  <si>
    <t>Habernehl Electric</t>
  </si>
  <si>
    <t>Szada Trucking</t>
  </si>
  <si>
    <t>Adaptive Electric</t>
  </si>
  <si>
    <t>South Star Trucking</t>
  </si>
  <si>
    <t>Beverly's Co</t>
  </si>
  <si>
    <t>HVA Products</t>
  </si>
  <si>
    <t>Platt Construction</t>
  </si>
  <si>
    <t>Blue Ribbon Industries</t>
  </si>
  <si>
    <t>Joe Nevels Landscape</t>
  </si>
  <si>
    <t>Hard Rock Sawing</t>
  </si>
  <si>
    <t>Hetzel-Sanfilipo</t>
  </si>
  <si>
    <t>Major Systems</t>
  </si>
  <si>
    <t>Ojibwa Ready Mix</t>
  </si>
  <si>
    <t>Nuvo Construction</t>
  </si>
  <si>
    <t>Underground Pipe Line</t>
  </si>
  <si>
    <t>Vassah &amp; Son Excavation</t>
  </si>
  <si>
    <t>CableComm</t>
  </si>
  <si>
    <t>BYCO</t>
  </si>
  <si>
    <t>Pro Electric</t>
  </si>
  <si>
    <t>Arrow Crete Construction</t>
  </si>
  <si>
    <t>CW Enterprise Electric</t>
  </si>
  <si>
    <t>Dolson, Inc</t>
  </si>
  <si>
    <t>Lacey's Trucking</t>
  </si>
  <si>
    <t>Diva Plumbing</t>
  </si>
  <si>
    <t>PL Freeman</t>
  </si>
  <si>
    <t>Gilltech Construction</t>
  </si>
  <si>
    <t>McDowel Construction</t>
  </si>
  <si>
    <t>K&amp;B Trucking</t>
  </si>
  <si>
    <t>Patriot Trucking</t>
  </si>
  <si>
    <t>Doug Rohde</t>
  </si>
  <si>
    <t>Thomas A Mason Company</t>
  </si>
  <si>
    <t>The Pennebaker Enterprises</t>
  </si>
  <si>
    <t>Community Traffic Control</t>
  </si>
  <si>
    <t>Ethnicity</t>
  </si>
  <si>
    <t>Gender</t>
  </si>
  <si>
    <t>Nursing Resource Network</t>
  </si>
  <si>
    <t>Quick Financial Solutions, LLC</t>
  </si>
  <si>
    <t>Noema LLC</t>
  </si>
  <si>
    <t>4N Consultants</t>
  </si>
  <si>
    <t>Multicultural Entreprenurial Instititute Inc.</t>
  </si>
  <si>
    <t>Key &amp; Associates</t>
  </si>
  <si>
    <t>Susan G. Kelley</t>
  </si>
  <si>
    <t>Midland Health</t>
  </si>
  <si>
    <t>Jericho Resources, Inc.</t>
  </si>
  <si>
    <t>Syslogic, Inc.</t>
  </si>
  <si>
    <t>Midwestern Adjustment Company</t>
  </si>
  <si>
    <t>Guy Brown</t>
  </si>
  <si>
    <r>
      <t xml:space="preserve">The Penebaker Enterprises - Roofing </t>
    </r>
    <r>
      <rPr>
        <vertAlign val="superscript"/>
        <sz val="10"/>
        <color indexed="8"/>
        <rFont val="Arial"/>
        <family val="2"/>
      </rPr>
      <t>3</t>
    </r>
  </si>
  <si>
    <t>F</t>
  </si>
  <si>
    <t>AA</t>
  </si>
  <si>
    <t>M</t>
  </si>
  <si>
    <t>All County Electric Supply</t>
  </si>
  <si>
    <t>NA</t>
  </si>
  <si>
    <t>NA - Native American</t>
  </si>
  <si>
    <t>AP</t>
  </si>
  <si>
    <t>Community Engineering Building Service</t>
  </si>
  <si>
    <t>Cisco Distributing</t>
  </si>
  <si>
    <t>CA</t>
  </si>
  <si>
    <t>Cornelius Contractors Corporation</t>
  </si>
  <si>
    <t>Crowley Construction Corporation</t>
  </si>
  <si>
    <t>Interstate Sealant &amp; Concrete</t>
  </si>
  <si>
    <t>HA</t>
  </si>
  <si>
    <t>CM Sobczyk Trucking</t>
  </si>
  <si>
    <t>The Joxel Group</t>
  </si>
  <si>
    <t>Tremmel-Anderson Trucking</t>
  </si>
  <si>
    <t>Waterford Truck Service</t>
  </si>
  <si>
    <t>Milwaukee Lead/Asbestos Info Center</t>
  </si>
  <si>
    <t>A &amp; A Plumbing</t>
  </si>
  <si>
    <t>HA - Hispanic American</t>
  </si>
  <si>
    <t>CA - Caucasian American</t>
  </si>
  <si>
    <t># of Contracts</t>
  </si>
  <si>
    <t># Female</t>
  </si>
  <si>
    <t># Male</t>
  </si>
  <si>
    <t>% Female</t>
  </si>
  <si>
    <t>% Male</t>
  </si>
  <si>
    <t>TOTALS</t>
  </si>
  <si>
    <t>AA - African American</t>
  </si>
  <si>
    <t>AP - Asian/Pacific Islander American</t>
  </si>
  <si>
    <t>Construction (Continued)</t>
  </si>
  <si>
    <t>Emerald City Tile</t>
  </si>
  <si>
    <t>JF Cook Company</t>
  </si>
  <si>
    <t>Brenner Corporation</t>
  </si>
  <si>
    <t>Superscript indicates number of T&amp;M contracts closed during 2010</t>
  </si>
  <si>
    <t>Female</t>
  </si>
  <si>
    <t>Male</t>
  </si>
  <si>
    <t>Average $</t>
  </si>
  <si>
    <t>per Contract</t>
  </si>
  <si>
    <t>County-Wide Expenditures to DBE by Name/Race/Gender, within Work Areas</t>
  </si>
  <si>
    <t># of Firms</t>
  </si>
  <si>
    <t>OA - Other American (Undesignated)</t>
  </si>
  <si>
    <t>Award %</t>
  </si>
  <si>
    <t>% DBEs</t>
  </si>
  <si>
    <t>Certified DBEs (01/10/2011)</t>
  </si>
  <si>
    <t>Awards vs. Certified DBEs (01/10/2011)</t>
  </si>
  <si>
    <t>Ethnicity &amp; Gender of Awardee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</si>
</sst>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-* #,##0_-;\-* #,##0_-;_-* &quot;-&quot;??_-;_-@_-"/>
    <numFmt numFmtId="166" formatCode="[$$-409]#,##0.00"/>
    <numFmt numFmtId="167" formatCode="&quot;$&quot;#,##0.00;[Red]&quot;$&quot;#,##0.00"/>
    <numFmt numFmtId="168" formatCode="m/d/yy"/>
  </numFmts>
  <fonts count="43">
    <font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u val="single"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10" fontId="1" fillId="0" borderId="10" xfId="0" applyNumberFormat="1" applyFont="1" applyBorder="1" applyAlignment="1">
      <alignment horizontal="right"/>
    </xf>
    <xf numFmtId="10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4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55" applyNumberFormat="1" applyFont="1" applyBorder="1" applyAlignment="1">
      <alignment horizontal="right"/>
      <protection/>
    </xf>
    <xf numFmtId="10" fontId="1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4" fontId="0" fillId="0" borderId="0" xfId="42" applyNumberFormat="1" applyFont="1" applyBorder="1" applyAlignment="1">
      <alignment horizontal="right"/>
    </xf>
    <xf numFmtId="37" fontId="0" fillId="0" borderId="10" xfId="0" applyNumberFormat="1" applyFont="1" applyBorder="1" applyAlignment="1" applyProtection="1">
      <alignment horizontal="left"/>
      <protection/>
    </xf>
    <xf numFmtId="4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0" fontId="4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 horizontal="right"/>
    </xf>
    <xf numFmtId="1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10" fontId="4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Fill="1" applyAlignment="1">
      <alignment horizontal="right"/>
    </xf>
    <xf numFmtId="10" fontId="0" fillId="0" borderId="10" xfId="0" applyNumberFormat="1" applyBorder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10" fontId="4" fillId="0" borderId="10" xfId="0" applyNumberFormat="1" applyFont="1" applyFill="1" applyBorder="1" applyAlignment="1">
      <alignment horizontal="center"/>
    </xf>
    <xf numFmtId="10" fontId="8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39" fontId="0" fillId="0" borderId="10" xfId="44" applyNumberFormat="1" applyFont="1" applyBorder="1" applyAlignment="1">
      <alignment horizontal="right"/>
    </xf>
    <xf numFmtId="39" fontId="5" fillId="0" borderId="10" xfId="44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NUAL 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3"/>
  <sheetViews>
    <sheetView tabSelected="1" zoomScalePageLayoutView="0" workbookViewId="0" topLeftCell="A1">
      <selection activeCell="A99" sqref="A99:F99"/>
    </sheetView>
  </sheetViews>
  <sheetFormatPr defaultColWidth="9.140625" defaultRowHeight="12.75"/>
  <cols>
    <col min="1" max="1" width="36.8515625" style="0" customWidth="1"/>
    <col min="2" max="2" width="13.7109375" style="24" customWidth="1"/>
    <col min="3" max="3" width="13.7109375" style="29" customWidth="1"/>
    <col min="4" max="4" width="8.7109375" style="19" customWidth="1"/>
    <col min="5" max="6" width="8.7109375" style="25" customWidth="1"/>
  </cols>
  <sheetData>
    <row r="1" spans="1:6" ht="30">
      <c r="A1" s="71" t="s">
        <v>13</v>
      </c>
      <c r="B1" s="70"/>
      <c r="C1" s="70"/>
      <c r="D1" s="70"/>
      <c r="E1" s="70"/>
      <c r="F1" s="70"/>
    </row>
    <row r="2" spans="1:6" ht="12.75">
      <c r="A2" s="69" t="s">
        <v>14</v>
      </c>
      <c r="B2" s="70"/>
      <c r="C2" s="70"/>
      <c r="D2" s="70"/>
      <c r="E2" s="70"/>
      <c r="F2" s="70"/>
    </row>
    <row r="3" spans="1:4" ht="12.75">
      <c r="A3" s="6"/>
      <c r="B3" s="7"/>
      <c r="C3" s="28"/>
      <c r="D3" s="18"/>
    </row>
    <row r="4" spans="1:4" ht="12.75">
      <c r="A4" s="8"/>
      <c r="B4" s="9"/>
      <c r="C4" s="28"/>
      <c r="D4" s="18"/>
    </row>
    <row r="5" spans="1:6" ht="12.75">
      <c r="A5" s="26" t="s">
        <v>144</v>
      </c>
      <c r="B5" s="35" t="s">
        <v>140</v>
      </c>
      <c r="C5" s="35" t="s">
        <v>123</v>
      </c>
      <c r="D5" s="36" t="s">
        <v>124</v>
      </c>
      <c r="E5" s="26" t="s">
        <v>125</v>
      </c>
      <c r="F5" s="26" t="s">
        <v>126</v>
      </c>
    </row>
    <row r="6" spans="1:6" ht="12.75">
      <c r="A6" s="1" t="s">
        <v>128</v>
      </c>
      <c r="B6" s="44">
        <v>271</v>
      </c>
      <c r="C6" s="44">
        <v>65</v>
      </c>
      <c r="D6" s="44">
        <v>206</v>
      </c>
      <c r="E6" s="46">
        <f aca="true" t="shared" si="0" ref="E6:E12">C6/B6</f>
        <v>0.23985239852398524</v>
      </c>
      <c r="F6" s="46">
        <f aca="true" t="shared" si="1" ref="F6:F12">D6/B6</f>
        <v>0.7601476014760148</v>
      </c>
    </row>
    <row r="7" spans="1:6" ht="12.75">
      <c r="A7" s="1" t="s">
        <v>129</v>
      </c>
      <c r="B7" s="44">
        <v>71</v>
      </c>
      <c r="C7" s="44">
        <v>20</v>
      </c>
      <c r="D7" s="44">
        <v>51</v>
      </c>
      <c r="E7" s="46">
        <f t="shared" si="0"/>
        <v>0.28169014084507044</v>
      </c>
      <c r="F7" s="46">
        <f t="shared" si="1"/>
        <v>0.7183098591549296</v>
      </c>
    </row>
    <row r="8" spans="1:6" ht="12.75">
      <c r="A8" s="1" t="s">
        <v>121</v>
      </c>
      <c r="B8" s="44">
        <v>336</v>
      </c>
      <c r="C8" s="44">
        <v>329</v>
      </c>
      <c r="D8" s="44">
        <v>7</v>
      </c>
      <c r="E8" s="46">
        <f t="shared" si="0"/>
        <v>0.9791666666666666</v>
      </c>
      <c r="F8" s="46">
        <f t="shared" si="1"/>
        <v>0.020833333333333332</v>
      </c>
    </row>
    <row r="9" spans="1:6" ht="12.75">
      <c r="A9" s="1" t="s">
        <v>120</v>
      </c>
      <c r="B9" s="44">
        <v>100</v>
      </c>
      <c r="C9" s="44">
        <v>16</v>
      </c>
      <c r="D9" s="44">
        <v>84</v>
      </c>
      <c r="E9" s="46">
        <f t="shared" si="0"/>
        <v>0.16</v>
      </c>
      <c r="F9" s="46">
        <f t="shared" si="1"/>
        <v>0.84</v>
      </c>
    </row>
    <row r="10" spans="1:6" ht="12.75">
      <c r="A10" s="1" t="s">
        <v>105</v>
      </c>
      <c r="B10" s="44">
        <v>63</v>
      </c>
      <c r="C10" s="44">
        <v>13</v>
      </c>
      <c r="D10" s="44">
        <v>50</v>
      </c>
      <c r="E10" s="46">
        <f t="shared" si="0"/>
        <v>0.20634920634920634</v>
      </c>
      <c r="F10" s="46">
        <f t="shared" si="1"/>
        <v>0.7936507936507936</v>
      </c>
    </row>
    <row r="11" spans="1:6" ht="12.75">
      <c r="A11" s="1" t="s">
        <v>141</v>
      </c>
      <c r="B11" s="44">
        <v>8</v>
      </c>
      <c r="C11" s="44">
        <v>3</v>
      </c>
      <c r="D11" s="44">
        <v>5</v>
      </c>
      <c r="E11" s="46">
        <f t="shared" si="0"/>
        <v>0.375</v>
      </c>
      <c r="F11" s="46">
        <f t="shared" si="1"/>
        <v>0.625</v>
      </c>
    </row>
    <row r="12" spans="1:6" ht="12.75">
      <c r="A12" s="51" t="s">
        <v>127</v>
      </c>
      <c r="B12" s="45">
        <f>SUM(B6:B11)</f>
        <v>849</v>
      </c>
      <c r="C12" s="45">
        <f>SUM(C6:C11)</f>
        <v>446</v>
      </c>
      <c r="D12" s="45">
        <f>SUM(D6:D11)</f>
        <v>403</v>
      </c>
      <c r="E12" s="39">
        <f t="shared" si="0"/>
        <v>0.525323910482921</v>
      </c>
      <c r="F12" s="39">
        <f t="shared" si="1"/>
        <v>0.4746760895170789</v>
      </c>
    </row>
    <row r="13" spans="1:6" ht="12.75">
      <c r="A13" s="58"/>
      <c r="B13" s="59"/>
      <c r="C13" s="59"/>
      <c r="D13" s="59"/>
      <c r="E13" s="60"/>
      <c r="F13" s="60"/>
    </row>
    <row r="14" spans="1:6" ht="12.75">
      <c r="A14" s="26" t="s">
        <v>146</v>
      </c>
      <c r="B14" s="35" t="s">
        <v>122</v>
      </c>
      <c r="C14" s="35" t="s">
        <v>123</v>
      </c>
      <c r="D14" s="36" t="s">
        <v>124</v>
      </c>
      <c r="E14" s="26" t="s">
        <v>125</v>
      </c>
      <c r="F14" s="26" t="s">
        <v>126</v>
      </c>
    </row>
    <row r="15" spans="1:6" ht="12.75">
      <c r="A15" s="1" t="s">
        <v>128</v>
      </c>
      <c r="B15" s="44">
        <v>29</v>
      </c>
      <c r="C15" s="44">
        <v>4</v>
      </c>
      <c r="D15" s="44">
        <v>25</v>
      </c>
      <c r="E15" s="46">
        <f aca="true" t="shared" si="2" ref="E15:E21">C15/B15</f>
        <v>0.13793103448275862</v>
      </c>
      <c r="F15" s="46">
        <f aca="true" t="shared" si="3" ref="F15:F21">D15/B15</f>
        <v>0.8620689655172413</v>
      </c>
    </row>
    <row r="16" spans="1:6" ht="12.75">
      <c r="A16" s="1" t="s">
        <v>129</v>
      </c>
      <c r="B16" s="44">
        <v>17</v>
      </c>
      <c r="C16" s="44">
        <v>5</v>
      </c>
      <c r="D16" s="44">
        <v>12</v>
      </c>
      <c r="E16" s="46">
        <f t="shared" si="2"/>
        <v>0.29411764705882354</v>
      </c>
      <c r="F16" s="46">
        <f t="shared" si="3"/>
        <v>0.7058823529411765</v>
      </c>
    </row>
    <row r="17" spans="1:6" ht="12.75">
      <c r="A17" s="1" t="s">
        <v>121</v>
      </c>
      <c r="B17" s="44">
        <v>36</v>
      </c>
      <c r="C17" s="44">
        <v>34</v>
      </c>
      <c r="D17" s="44">
        <v>2</v>
      </c>
      <c r="E17" s="46">
        <f t="shared" si="2"/>
        <v>0.9444444444444444</v>
      </c>
      <c r="F17" s="46">
        <f t="shared" si="3"/>
        <v>0.05555555555555555</v>
      </c>
    </row>
    <row r="18" spans="1:6" ht="12.75">
      <c r="A18" s="1" t="s">
        <v>120</v>
      </c>
      <c r="B18" s="44">
        <v>13</v>
      </c>
      <c r="C18" s="44">
        <v>2</v>
      </c>
      <c r="D18" s="44">
        <v>11</v>
      </c>
      <c r="E18" s="46">
        <f t="shared" si="2"/>
        <v>0.15384615384615385</v>
      </c>
      <c r="F18" s="46">
        <f t="shared" si="3"/>
        <v>0.8461538461538461</v>
      </c>
    </row>
    <row r="19" spans="1:6" ht="12.75">
      <c r="A19" s="1" t="s">
        <v>105</v>
      </c>
      <c r="B19" s="44">
        <v>14</v>
      </c>
      <c r="C19" s="44">
        <v>4</v>
      </c>
      <c r="D19" s="44">
        <v>10</v>
      </c>
      <c r="E19" s="46">
        <f t="shared" si="2"/>
        <v>0.2857142857142857</v>
      </c>
      <c r="F19" s="46">
        <f t="shared" si="3"/>
        <v>0.7142857142857143</v>
      </c>
    </row>
    <row r="20" spans="1:6" ht="12.75">
      <c r="A20" s="1" t="s">
        <v>141</v>
      </c>
      <c r="B20" s="44">
        <v>0</v>
      </c>
      <c r="C20" s="44">
        <v>0</v>
      </c>
      <c r="D20" s="44">
        <v>0</v>
      </c>
      <c r="E20" s="46">
        <v>0</v>
      </c>
      <c r="F20" s="46">
        <v>0</v>
      </c>
    </row>
    <row r="21" spans="1:6" ht="12.75">
      <c r="A21" s="51" t="s">
        <v>127</v>
      </c>
      <c r="B21" s="45">
        <f>SUM(B15:B20)</f>
        <v>109</v>
      </c>
      <c r="C21" s="45">
        <f>SUM(C15:C20)</f>
        <v>49</v>
      </c>
      <c r="D21" s="45">
        <f>SUM(D15:D20)</f>
        <v>60</v>
      </c>
      <c r="E21" s="39">
        <f t="shared" si="2"/>
        <v>0.44954128440366975</v>
      </c>
      <c r="F21" s="39">
        <f t="shared" si="3"/>
        <v>0.5504587155963303</v>
      </c>
    </row>
    <row r="22" spans="1:6" ht="12.75">
      <c r="A22" s="58"/>
      <c r="B22" s="59"/>
      <c r="C22" s="59"/>
      <c r="D22" s="59"/>
      <c r="E22" s="60"/>
      <c r="F22" s="60"/>
    </row>
    <row r="23" spans="1:5" ht="12.75">
      <c r="A23" s="26" t="s">
        <v>145</v>
      </c>
      <c r="B23" s="35" t="s">
        <v>140</v>
      </c>
      <c r="C23" s="35" t="s">
        <v>122</v>
      </c>
      <c r="D23" s="26" t="s">
        <v>143</v>
      </c>
      <c r="E23" s="26" t="s">
        <v>142</v>
      </c>
    </row>
    <row r="24" spans="1:5" ht="12.75">
      <c r="A24" s="1" t="s">
        <v>128</v>
      </c>
      <c r="B24" s="45">
        <v>271</v>
      </c>
      <c r="C24" s="44">
        <v>29</v>
      </c>
      <c r="D24" s="39">
        <f aca="true" t="shared" si="4" ref="D24:D30">B24/$B$30</f>
        <v>0.31919905771495877</v>
      </c>
      <c r="E24" s="46">
        <f aca="true" t="shared" si="5" ref="E24:E30">C24/$C$30</f>
        <v>0.26605504587155965</v>
      </c>
    </row>
    <row r="25" spans="1:5" ht="12.75">
      <c r="A25" s="1" t="s">
        <v>129</v>
      </c>
      <c r="B25" s="45">
        <v>71</v>
      </c>
      <c r="C25" s="44">
        <v>17</v>
      </c>
      <c r="D25" s="39">
        <f t="shared" si="4"/>
        <v>0.08362779740871613</v>
      </c>
      <c r="E25" s="46">
        <f t="shared" si="5"/>
        <v>0.1559633027522936</v>
      </c>
    </row>
    <row r="26" spans="1:5" ht="12.75">
      <c r="A26" s="1" t="s">
        <v>121</v>
      </c>
      <c r="B26" s="45">
        <v>336</v>
      </c>
      <c r="C26" s="44">
        <v>36</v>
      </c>
      <c r="D26" s="39">
        <f t="shared" si="4"/>
        <v>0.3957597173144876</v>
      </c>
      <c r="E26" s="46">
        <f t="shared" si="5"/>
        <v>0.3302752293577982</v>
      </c>
    </row>
    <row r="27" spans="1:5" ht="12.75">
      <c r="A27" s="1" t="s">
        <v>120</v>
      </c>
      <c r="B27" s="45">
        <v>100</v>
      </c>
      <c r="C27" s="44">
        <v>13</v>
      </c>
      <c r="D27" s="39">
        <f t="shared" si="4"/>
        <v>0.11778563015312132</v>
      </c>
      <c r="E27" s="46">
        <f t="shared" si="5"/>
        <v>0.11926605504587157</v>
      </c>
    </row>
    <row r="28" spans="1:5" ht="12.75">
      <c r="A28" s="1" t="s">
        <v>105</v>
      </c>
      <c r="B28" s="45">
        <v>63</v>
      </c>
      <c r="C28" s="44">
        <v>14</v>
      </c>
      <c r="D28" s="39">
        <f t="shared" si="4"/>
        <v>0.07420494699646643</v>
      </c>
      <c r="E28" s="46">
        <f t="shared" si="5"/>
        <v>0.12844036697247707</v>
      </c>
    </row>
    <row r="29" spans="1:5" ht="12.75">
      <c r="A29" s="1" t="s">
        <v>141</v>
      </c>
      <c r="B29" s="45">
        <v>8</v>
      </c>
      <c r="C29" s="44">
        <v>0</v>
      </c>
      <c r="D29" s="39">
        <f t="shared" si="4"/>
        <v>0.009422850412249705</v>
      </c>
      <c r="E29" s="46">
        <f t="shared" si="5"/>
        <v>0</v>
      </c>
    </row>
    <row r="30" spans="1:5" ht="12.75">
      <c r="A30" s="51" t="s">
        <v>127</v>
      </c>
      <c r="B30" s="45">
        <f>SUM(B24:B29)</f>
        <v>849</v>
      </c>
      <c r="C30" s="45">
        <f>SUM(C24:C29)</f>
        <v>109</v>
      </c>
      <c r="D30" s="39">
        <f t="shared" si="4"/>
        <v>1</v>
      </c>
      <c r="E30" s="39">
        <f t="shared" si="5"/>
        <v>1</v>
      </c>
    </row>
    <row r="31" spans="1:6" ht="12.75">
      <c r="A31" s="58"/>
      <c r="B31" s="59"/>
      <c r="C31" s="59"/>
      <c r="D31" s="59"/>
      <c r="E31" s="60"/>
      <c r="F31" s="60"/>
    </row>
    <row r="32" spans="1:6" ht="12.75">
      <c r="A32" s="58"/>
      <c r="B32" s="59"/>
      <c r="C32" s="59" t="s">
        <v>137</v>
      </c>
      <c r="D32" s="59"/>
      <c r="E32" s="60"/>
      <c r="F32" s="60"/>
    </row>
    <row r="33" spans="1:6" ht="12.75">
      <c r="A33" s="26" t="s">
        <v>85</v>
      </c>
      <c r="B33" s="10" t="s">
        <v>11</v>
      </c>
      <c r="C33" s="10" t="s">
        <v>138</v>
      </c>
      <c r="D33"/>
      <c r="E33"/>
      <c r="F33"/>
    </row>
    <row r="34" spans="1:6" ht="12.75">
      <c r="A34" s="38" t="s">
        <v>128</v>
      </c>
      <c r="B34" s="66">
        <v>3154272.56</v>
      </c>
      <c r="C34" s="66">
        <f>B34/B15</f>
        <v>108768.01931034483</v>
      </c>
      <c r="D34"/>
      <c r="E34"/>
      <c r="F34"/>
    </row>
    <row r="35" spans="1:6" ht="12.75">
      <c r="A35" s="64" t="s">
        <v>135</v>
      </c>
      <c r="B35" s="65">
        <v>796052.9</v>
      </c>
      <c r="C35" s="65">
        <f>B35/C15</f>
        <v>199013.225</v>
      </c>
      <c r="D35"/>
      <c r="E35"/>
      <c r="F35"/>
    </row>
    <row r="36" spans="1:6" ht="12.75">
      <c r="A36" s="64" t="s">
        <v>136</v>
      </c>
      <c r="B36" s="65">
        <v>2358219.66</v>
      </c>
      <c r="C36" s="65">
        <f>B36/D15</f>
        <v>94328.78640000001</v>
      </c>
      <c r="D36"/>
      <c r="E36"/>
      <c r="F36"/>
    </row>
    <row r="37" spans="1:6" ht="12.75">
      <c r="A37" s="38" t="s">
        <v>129</v>
      </c>
      <c r="B37" s="66">
        <v>2564557.32</v>
      </c>
      <c r="C37" s="66">
        <f>B37/B16</f>
        <v>150856.31294117647</v>
      </c>
      <c r="D37"/>
      <c r="E37"/>
      <c r="F37"/>
    </row>
    <row r="38" spans="1:6" ht="12.75">
      <c r="A38" s="64" t="s">
        <v>135</v>
      </c>
      <c r="B38" s="65">
        <v>87526.23</v>
      </c>
      <c r="C38" s="65">
        <f>B38/C16</f>
        <v>17505.246</v>
      </c>
      <c r="D38"/>
      <c r="E38"/>
      <c r="F38"/>
    </row>
    <row r="39" spans="1:6" ht="12.75">
      <c r="A39" s="64" t="s">
        <v>136</v>
      </c>
      <c r="B39" s="65">
        <v>2477031.09</v>
      </c>
      <c r="C39" s="65">
        <f>B39/D16</f>
        <v>206419.25749999998</v>
      </c>
      <c r="D39"/>
      <c r="E39"/>
      <c r="F39"/>
    </row>
    <row r="40" spans="1:6" ht="12.75">
      <c r="A40" s="38" t="s">
        <v>121</v>
      </c>
      <c r="B40" s="66">
        <v>2091519.52</v>
      </c>
      <c r="C40" s="66">
        <f>B40/B17</f>
        <v>58097.764444444445</v>
      </c>
      <c r="D40"/>
      <c r="E40"/>
      <c r="F40"/>
    </row>
    <row r="41" spans="1:6" ht="12.75">
      <c r="A41" s="64" t="s">
        <v>135</v>
      </c>
      <c r="B41" s="65">
        <v>1823370.82</v>
      </c>
      <c r="C41" s="65">
        <f>B41/C17</f>
        <v>53628.553529411765</v>
      </c>
      <c r="D41"/>
      <c r="E41"/>
      <c r="F41"/>
    </row>
    <row r="42" spans="1:6" ht="12.75">
      <c r="A42" s="64" t="s">
        <v>136</v>
      </c>
      <c r="B42" s="65">
        <v>268148.7</v>
      </c>
      <c r="C42" s="65">
        <f>B42/D17</f>
        <v>134074.35</v>
      </c>
      <c r="D42"/>
      <c r="E42"/>
      <c r="F42"/>
    </row>
    <row r="43" spans="1:6" ht="12.75">
      <c r="A43" s="38" t="s">
        <v>120</v>
      </c>
      <c r="B43" s="66">
        <v>1604642.74</v>
      </c>
      <c r="C43" s="66">
        <f>B43/B18</f>
        <v>123434.05692307692</v>
      </c>
      <c r="D43"/>
      <c r="E43"/>
      <c r="F43"/>
    </row>
    <row r="44" spans="1:6" ht="12.75">
      <c r="A44" s="64" t="s">
        <v>135</v>
      </c>
      <c r="B44" s="65">
        <v>666185.87</v>
      </c>
      <c r="C44" s="65">
        <f>B44/C18</f>
        <v>333092.935</v>
      </c>
      <c r="D44"/>
      <c r="E44"/>
      <c r="F44"/>
    </row>
    <row r="45" spans="1:6" ht="12.75">
      <c r="A45" s="64" t="s">
        <v>136</v>
      </c>
      <c r="B45" s="65">
        <v>938456.87</v>
      </c>
      <c r="C45" s="65">
        <f>B45/D18</f>
        <v>85314.26090909091</v>
      </c>
      <c r="D45"/>
      <c r="E45"/>
      <c r="F45"/>
    </row>
    <row r="46" spans="1:6" ht="12.75">
      <c r="A46" s="38" t="s">
        <v>105</v>
      </c>
      <c r="B46" s="66">
        <v>3230497.22</v>
      </c>
      <c r="C46" s="66">
        <f>B46/B19</f>
        <v>230749.80142857143</v>
      </c>
      <c r="D46"/>
      <c r="E46"/>
      <c r="F46"/>
    </row>
    <row r="47" spans="1:6" ht="12.75">
      <c r="A47" s="64" t="s">
        <v>135</v>
      </c>
      <c r="B47" s="65">
        <v>651366.67</v>
      </c>
      <c r="C47" s="65">
        <f>B47/C19</f>
        <v>162841.6675</v>
      </c>
      <c r="D47"/>
      <c r="E47"/>
      <c r="F47"/>
    </row>
    <row r="48" spans="1:6" ht="12.75">
      <c r="A48" s="64" t="s">
        <v>136</v>
      </c>
      <c r="B48" s="65">
        <v>2579130.55</v>
      </c>
      <c r="C48" s="65">
        <f>B48/D19</f>
        <v>257913.055</v>
      </c>
      <c r="D48"/>
      <c r="E48"/>
      <c r="F48"/>
    </row>
    <row r="49" spans="1:6" ht="12.75">
      <c r="A49" s="51" t="s">
        <v>127</v>
      </c>
      <c r="B49" s="66">
        <f>SUM(B34+B37+B40+B43+B46)</f>
        <v>12645489.360000001</v>
      </c>
      <c r="C49" s="66">
        <f>B49/B21</f>
        <v>116013.66385321102</v>
      </c>
      <c r="D49"/>
      <c r="E49"/>
      <c r="F49"/>
    </row>
    <row r="50" spans="1:6" ht="30">
      <c r="A50" s="71" t="s">
        <v>13</v>
      </c>
      <c r="B50" s="70"/>
      <c r="C50" s="70"/>
      <c r="D50" s="70"/>
      <c r="E50" s="70"/>
      <c r="F50" s="70"/>
    </row>
    <row r="51" spans="1:6" ht="12.75">
      <c r="A51" s="69" t="s">
        <v>139</v>
      </c>
      <c r="B51" s="70"/>
      <c r="C51" s="70"/>
      <c r="D51" s="70"/>
      <c r="E51" s="70"/>
      <c r="F51" s="70"/>
    </row>
    <row r="52" spans="1:4" ht="12.75">
      <c r="A52" s="6"/>
      <c r="B52" s="7"/>
      <c r="C52" s="28"/>
      <c r="D52" s="18"/>
    </row>
    <row r="53" spans="1:6" ht="12.75">
      <c r="A53" s="37"/>
      <c r="B53" s="35"/>
      <c r="C53" s="35"/>
      <c r="D53" s="36"/>
      <c r="E53" s="26"/>
      <c r="F53" s="26"/>
    </row>
    <row r="54" spans="1:6" ht="12.75">
      <c r="A54" s="26" t="s">
        <v>15</v>
      </c>
      <c r="B54" s="10" t="s">
        <v>28</v>
      </c>
      <c r="C54" s="10" t="s">
        <v>11</v>
      </c>
      <c r="D54" s="30" t="s">
        <v>12</v>
      </c>
      <c r="E54" s="26" t="s">
        <v>85</v>
      </c>
      <c r="F54" s="26" t="s">
        <v>86</v>
      </c>
    </row>
    <row r="55" spans="1:6" ht="12.75">
      <c r="A55" s="21" t="s">
        <v>119</v>
      </c>
      <c r="B55" s="22">
        <v>37400</v>
      </c>
      <c r="C55" s="22">
        <v>41768.64</v>
      </c>
      <c r="D55" s="3">
        <f aca="true" t="shared" si="6" ref="D55:D94">C55/B55</f>
        <v>1.1168085561497325</v>
      </c>
      <c r="E55" s="32" t="s">
        <v>101</v>
      </c>
      <c r="F55" s="32" t="s">
        <v>102</v>
      </c>
    </row>
    <row r="56" spans="1:6" ht="12.75">
      <c r="A56" s="21" t="s">
        <v>54</v>
      </c>
      <c r="B56" s="22">
        <v>200000</v>
      </c>
      <c r="C56" s="22">
        <v>209900.66</v>
      </c>
      <c r="D56" s="3">
        <f t="shared" si="6"/>
        <v>1.0495033</v>
      </c>
      <c r="E56" s="32" t="s">
        <v>113</v>
      </c>
      <c r="F56" s="32" t="s">
        <v>100</v>
      </c>
    </row>
    <row r="57" spans="1:6" ht="12.75">
      <c r="A57" s="11" t="s">
        <v>103</v>
      </c>
      <c r="B57" s="13">
        <v>27861.98</v>
      </c>
      <c r="C57" s="13">
        <v>27862</v>
      </c>
      <c r="D57" s="3">
        <f t="shared" si="6"/>
        <v>1.0000007178240742</v>
      </c>
      <c r="E57" s="32" t="s">
        <v>109</v>
      </c>
      <c r="F57" s="32" t="s">
        <v>100</v>
      </c>
    </row>
    <row r="58" spans="1:6" ht="12.75">
      <c r="A58" s="11" t="s">
        <v>71</v>
      </c>
      <c r="B58" s="13">
        <v>65350</v>
      </c>
      <c r="C58" s="13">
        <v>67928.44</v>
      </c>
      <c r="D58" s="3">
        <f t="shared" si="6"/>
        <v>1.0394558530986993</v>
      </c>
      <c r="E58" s="32" t="s">
        <v>104</v>
      </c>
      <c r="F58" s="32" t="s">
        <v>102</v>
      </c>
    </row>
    <row r="59" spans="1:6" ht="12.75">
      <c r="A59" s="11" t="s">
        <v>0</v>
      </c>
      <c r="B59" s="13">
        <f>102000+7500+19000</f>
        <v>128500</v>
      </c>
      <c r="C59" s="13">
        <f>102000+7500+19000</f>
        <v>128500</v>
      </c>
      <c r="D59" s="3">
        <f t="shared" si="6"/>
        <v>1</v>
      </c>
      <c r="E59" s="32" t="s">
        <v>113</v>
      </c>
      <c r="F59" s="32" t="s">
        <v>102</v>
      </c>
    </row>
    <row r="60" spans="1:6" ht="12.75">
      <c r="A60" s="11" t="s">
        <v>42</v>
      </c>
      <c r="B60" s="16">
        <f>149962.04+21000</f>
        <v>170962.04</v>
      </c>
      <c r="C60" s="16">
        <f>149962.04+21000</f>
        <v>170962.04</v>
      </c>
      <c r="D60" s="3">
        <f t="shared" si="6"/>
        <v>1</v>
      </c>
      <c r="E60" s="32" t="s">
        <v>104</v>
      </c>
      <c r="F60" s="32" t="s">
        <v>102</v>
      </c>
    </row>
    <row r="61" spans="1:6" ht="12.75">
      <c r="A61" s="11" t="s">
        <v>1</v>
      </c>
      <c r="B61" s="13">
        <f>276469+109393</f>
        <v>385862</v>
      </c>
      <c r="C61" s="13">
        <f>284153.75+111366</f>
        <v>395519.75</v>
      </c>
      <c r="D61" s="3">
        <f t="shared" si="6"/>
        <v>1.0250290259211843</v>
      </c>
      <c r="E61" s="32" t="s">
        <v>104</v>
      </c>
      <c r="F61" s="32" t="s">
        <v>100</v>
      </c>
    </row>
    <row r="62" spans="1:6" ht="12.75">
      <c r="A62" s="21" t="s">
        <v>56</v>
      </c>
      <c r="B62" s="22">
        <v>62000</v>
      </c>
      <c r="C62" s="22">
        <v>153691.82</v>
      </c>
      <c r="D62" s="3">
        <f t="shared" si="6"/>
        <v>2.478900322580645</v>
      </c>
      <c r="E62" s="32" t="s">
        <v>101</v>
      </c>
      <c r="F62" s="32" t="s">
        <v>100</v>
      </c>
    </row>
    <row r="63" spans="1:6" ht="12.75">
      <c r="A63" s="21" t="s">
        <v>59</v>
      </c>
      <c r="B63" s="22">
        <v>62000</v>
      </c>
      <c r="C63" s="22">
        <v>42795</v>
      </c>
      <c r="D63" s="3">
        <f t="shared" si="6"/>
        <v>0.6902419354838709</v>
      </c>
      <c r="E63" s="32" t="s">
        <v>106</v>
      </c>
      <c r="F63" s="32" t="s">
        <v>102</v>
      </c>
    </row>
    <row r="64" spans="1:6" ht="12.75">
      <c r="A64" s="11" t="s">
        <v>133</v>
      </c>
      <c r="B64" s="13">
        <v>17751</v>
      </c>
      <c r="C64" s="13">
        <v>19369</v>
      </c>
      <c r="D64" s="3">
        <f t="shared" si="6"/>
        <v>1.0911497943777815</v>
      </c>
      <c r="E64" s="32" t="s">
        <v>109</v>
      </c>
      <c r="F64" s="32" t="s">
        <v>100</v>
      </c>
    </row>
    <row r="65" spans="1:6" ht="12.75">
      <c r="A65" s="21" t="s">
        <v>69</v>
      </c>
      <c r="B65" s="13">
        <v>14568</v>
      </c>
      <c r="C65" s="13">
        <v>14300</v>
      </c>
      <c r="D65" s="3">
        <f t="shared" si="6"/>
        <v>0.9816035145524438</v>
      </c>
      <c r="E65" s="32" t="s">
        <v>113</v>
      </c>
      <c r="F65" s="32" t="s">
        <v>102</v>
      </c>
    </row>
    <row r="66" spans="1:6" ht="12.75">
      <c r="A66" s="11" t="s">
        <v>68</v>
      </c>
      <c r="B66" s="13">
        <v>80130</v>
      </c>
      <c r="C66" s="13">
        <v>73546.17</v>
      </c>
      <c r="D66" s="3">
        <f t="shared" si="6"/>
        <v>0.9178356420816174</v>
      </c>
      <c r="E66" s="32" t="s">
        <v>109</v>
      </c>
      <c r="F66" s="32" t="s">
        <v>100</v>
      </c>
    </row>
    <row r="67" spans="1:6" ht="12.75">
      <c r="A67" s="21" t="s">
        <v>107</v>
      </c>
      <c r="B67" s="22">
        <v>192340</v>
      </c>
      <c r="C67" s="22">
        <v>207991.98</v>
      </c>
      <c r="D67" s="3">
        <f t="shared" si="6"/>
        <v>1.081376624727046</v>
      </c>
      <c r="E67" s="32" t="s">
        <v>101</v>
      </c>
      <c r="F67" s="32" t="s">
        <v>102</v>
      </c>
    </row>
    <row r="68" spans="1:6" ht="12.75">
      <c r="A68" s="11" t="s">
        <v>108</v>
      </c>
      <c r="B68" s="13">
        <f>167772</f>
        <v>167772</v>
      </c>
      <c r="C68" s="13">
        <f>168418.46</f>
        <v>168418.46</v>
      </c>
      <c r="D68" s="3">
        <f t="shared" si="6"/>
        <v>1.003853205540853</v>
      </c>
      <c r="E68" s="32" t="s">
        <v>113</v>
      </c>
      <c r="F68" s="32" t="s">
        <v>102</v>
      </c>
    </row>
    <row r="69" spans="1:6" ht="12.75">
      <c r="A69" s="21" t="s">
        <v>84</v>
      </c>
      <c r="B69" s="22">
        <v>10322.65</v>
      </c>
      <c r="C69" s="13">
        <v>10167.81</v>
      </c>
      <c r="D69" s="3">
        <f t="shared" si="6"/>
        <v>0.9849999757814127</v>
      </c>
      <c r="E69" s="32" t="s">
        <v>101</v>
      </c>
      <c r="F69" s="32" t="s">
        <v>102</v>
      </c>
    </row>
    <row r="70" spans="1:6" ht="12.75">
      <c r="A70" s="11" t="s">
        <v>41</v>
      </c>
      <c r="B70" s="16">
        <f>125166.75+1200</f>
        <v>126366.75</v>
      </c>
      <c r="C70" s="16">
        <f>125166.75+2755+0</f>
        <v>127921.75</v>
      </c>
      <c r="D70" s="3">
        <f t="shared" si="6"/>
        <v>1.0123054521858004</v>
      </c>
      <c r="E70" s="32" t="s">
        <v>109</v>
      </c>
      <c r="F70" s="32" t="s">
        <v>100</v>
      </c>
    </row>
    <row r="71" spans="1:6" ht="12.75">
      <c r="A71" s="11" t="s">
        <v>110</v>
      </c>
      <c r="B71" s="13">
        <f>45291.8+272840+42585</f>
        <v>360716.8</v>
      </c>
      <c r="C71" s="13">
        <f>45291.8+286055+45945.15</f>
        <v>377291.95</v>
      </c>
      <c r="D71" s="3">
        <f t="shared" si="6"/>
        <v>1.045950590601824</v>
      </c>
      <c r="E71" s="32" t="s">
        <v>104</v>
      </c>
      <c r="F71" s="32" t="s">
        <v>102</v>
      </c>
    </row>
    <row r="72" spans="1:6" ht="12.75">
      <c r="A72" s="21" t="s">
        <v>111</v>
      </c>
      <c r="B72" s="22">
        <f>9125+35307.5+1705+11590</f>
        <v>57727.5</v>
      </c>
      <c r="C72" s="13">
        <f>12290.63+81911.94+2173.05+11636.5</f>
        <v>108012.12000000001</v>
      </c>
      <c r="D72" s="3">
        <f>C72/B72</f>
        <v>1.871068728075874</v>
      </c>
      <c r="E72" s="32" t="s">
        <v>109</v>
      </c>
      <c r="F72" s="32" t="s">
        <v>100</v>
      </c>
    </row>
    <row r="73" spans="1:6" ht="12.75">
      <c r="A73" s="11" t="s">
        <v>114</v>
      </c>
      <c r="B73" s="13">
        <v>2000</v>
      </c>
      <c r="C73" s="13">
        <v>4553.05</v>
      </c>
      <c r="D73" s="3">
        <f>C73/B73</f>
        <v>2.276525</v>
      </c>
      <c r="E73" s="32" t="s">
        <v>109</v>
      </c>
      <c r="F73" s="32" t="s">
        <v>100</v>
      </c>
    </row>
    <row r="74" spans="1:6" ht="12.75">
      <c r="A74" s="11" t="s">
        <v>72</v>
      </c>
      <c r="B74" s="13">
        <f>220000+27830</f>
        <v>247830</v>
      </c>
      <c r="C74" s="13">
        <f>233337.02+33811.68</f>
        <v>267148.7</v>
      </c>
      <c r="D74" s="3">
        <f t="shared" si="6"/>
        <v>1.077951418310939</v>
      </c>
      <c r="E74" s="32" t="s">
        <v>109</v>
      </c>
      <c r="F74" s="32" t="s">
        <v>102</v>
      </c>
    </row>
    <row r="75" spans="1:6" ht="12.75">
      <c r="A75" s="11" t="s">
        <v>44</v>
      </c>
      <c r="B75" s="13">
        <f>26750+30245.14+123500+21743</f>
        <v>202238.14</v>
      </c>
      <c r="C75" s="13">
        <f>26750+32917.35+138374.27+36422.36</f>
        <v>234463.97999999998</v>
      </c>
      <c r="D75" s="3">
        <f t="shared" si="6"/>
        <v>1.1593460066434549</v>
      </c>
      <c r="E75" s="32" t="s">
        <v>113</v>
      </c>
      <c r="F75" s="32" t="s">
        <v>102</v>
      </c>
    </row>
    <row r="76" spans="1:6" ht="12.75">
      <c r="A76" s="11" t="s">
        <v>38</v>
      </c>
      <c r="B76" s="13">
        <f>42757.6+73500</f>
        <v>116257.6</v>
      </c>
      <c r="C76" s="13">
        <f>42757.6+85552.82</f>
        <v>128310.42000000001</v>
      </c>
      <c r="D76" s="3">
        <f t="shared" si="6"/>
        <v>1.1036733942555155</v>
      </c>
      <c r="E76" s="32" t="s">
        <v>106</v>
      </c>
      <c r="F76" s="32" t="s">
        <v>102</v>
      </c>
    </row>
    <row r="77" spans="1:6" ht="12.75">
      <c r="A77" s="11" t="s">
        <v>75</v>
      </c>
      <c r="B77" s="13">
        <f>501740+8000</f>
        <v>509740</v>
      </c>
      <c r="C77" s="13">
        <f>612951.32+8000</f>
        <v>620951.32</v>
      </c>
      <c r="D77" s="3">
        <f>C77/B77</f>
        <v>1.218172637030643</v>
      </c>
      <c r="E77" s="32" t="s">
        <v>101</v>
      </c>
      <c r="F77" s="32" t="s">
        <v>100</v>
      </c>
    </row>
    <row r="78" spans="1:6" ht="12.75">
      <c r="A78" s="11" t="s">
        <v>73</v>
      </c>
      <c r="B78" s="13">
        <v>245428</v>
      </c>
      <c r="C78" s="13">
        <v>244432</v>
      </c>
      <c r="D78" s="3">
        <f t="shared" si="6"/>
        <v>0.995941783333605</v>
      </c>
      <c r="E78" s="32" t="s">
        <v>104</v>
      </c>
      <c r="F78" s="32" t="s">
        <v>100</v>
      </c>
    </row>
    <row r="79" spans="1:6" ht="12.75">
      <c r="A79" s="11" t="s">
        <v>81</v>
      </c>
      <c r="B79" s="13">
        <v>88164.03</v>
      </c>
      <c r="C79" s="13">
        <v>118253.2</v>
      </c>
      <c r="D79" s="3">
        <f>C79/B79</f>
        <v>1.3412862365751657</v>
      </c>
      <c r="E79" s="32" t="s">
        <v>109</v>
      </c>
      <c r="F79" s="32" t="s">
        <v>100</v>
      </c>
    </row>
    <row r="80" spans="1:6" ht="12.75">
      <c r="A80" s="11" t="s">
        <v>46</v>
      </c>
      <c r="B80" s="13">
        <f>14922+18970.92</f>
        <v>33892.92</v>
      </c>
      <c r="C80" s="13">
        <f>14922+18970.92</f>
        <v>33892.92</v>
      </c>
      <c r="D80" s="3">
        <f t="shared" si="6"/>
        <v>1</v>
      </c>
      <c r="E80" s="32" t="s">
        <v>101</v>
      </c>
      <c r="F80" s="32" t="s">
        <v>102</v>
      </c>
    </row>
    <row r="81" spans="1:6" ht="12.75">
      <c r="A81" s="21" t="s">
        <v>131</v>
      </c>
      <c r="B81" s="22">
        <f>5447+2500</f>
        <v>7947</v>
      </c>
      <c r="C81" s="22">
        <f>10733+2500</f>
        <v>13233</v>
      </c>
      <c r="D81" s="3">
        <f>C81/B81</f>
        <v>1.6651566628916572</v>
      </c>
      <c r="E81" s="32" t="s">
        <v>109</v>
      </c>
      <c r="F81" s="32" t="s">
        <v>100</v>
      </c>
    </row>
    <row r="82" spans="1:6" ht="12.75">
      <c r="A82" s="11" t="s">
        <v>40</v>
      </c>
      <c r="B82" s="16">
        <f>53000+9006+36941.75+42345+23900</f>
        <v>165192.75</v>
      </c>
      <c r="C82" s="16">
        <f>53000+9006+36941.75+55850+62050</f>
        <v>216847.75</v>
      </c>
      <c r="D82" s="3">
        <f t="shared" si="6"/>
        <v>1.3126953210718992</v>
      </c>
      <c r="E82" s="32" t="s">
        <v>101</v>
      </c>
      <c r="F82" s="32" t="s">
        <v>102</v>
      </c>
    </row>
    <row r="83" spans="1:6" ht="12.75">
      <c r="A83" s="11" t="s">
        <v>77</v>
      </c>
      <c r="B83" s="13">
        <v>16094</v>
      </c>
      <c r="C83" s="13">
        <v>16094</v>
      </c>
      <c r="D83" s="3">
        <f t="shared" si="6"/>
        <v>1</v>
      </c>
      <c r="E83" s="32" t="s">
        <v>101</v>
      </c>
      <c r="F83" s="32" t="s">
        <v>102</v>
      </c>
    </row>
    <row r="84" spans="1:6" ht="12.75">
      <c r="A84" s="11" t="s">
        <v>39</v>
      </c>
      <c r="B84" s="13">
        <f>1416619+7000</f>
        <v>1423619</v>
      </c>
      <c r="C84" s="13">
        <f>1416619+11880</f>
        <v>1428499</v>
      </c>
      <c r="D84" s="3">
        <f t="shared" si="6"/>
        <v>1.0034278834435337</v>
      </c>
      <c r="E84" s="32" t="s">
        <v>104</v>
      </c>
      <c r="F84" s="32" t="s">
        <v>102</v>
      </c>
    </row>
    <row r="85" spans="1:6" ht="12.75">
      <c r="A85" s="21" t="s">
        <v>52</v>
      </c>
      <c r="B85" s="22">
        <f>67016.45+125885+3750</f>
        <v>196651.45</v>
      </c>
      <c r="C85" s="13">
        <f>84594.68+164410+7700</f>
        <v>256704.68</v>
      </c>
      <c r="D85" s="3">
        <f t="shared" si="6"/>
        <v>1.305379034835492</v>
      </c>
      <c r="E85" s="32" t="s">
        <v>109</v>
      </c>
      <c r="F85" s="32" t="s">
        <v>100</v>
      </c>
    </row>
    <row r="86" spans="1:6" ht="12.75">
      <c r="A86" s="11" t="s">
        <v>61</v>
      </c>
      <c r="B86" s="13">
        <f>8850+4507.25</f>
        <v>13357.25</v>
      </c>
      <c r="C86" s="13">
        <f>1289+7705.5</f>
        <v>8994.5</v>
      </c>
      <c r="D86" s="3">
        <f t="shared" si="6"/>
        <v>0.6733796252971233</v>
      </c>
      <c r="E86" s="32" t="s">
        <v>104</v>
      </c>
      <c r="F86" s="32" t="s">
        <v>100</v>
      </c>
    </row>
    <row r="87" spans="1:6" ht="12.75">
      <c r="A87" s="11" t="s">
        <v>50</v>
      </c>
      <c r="B87" s="13">
        <v>26000</v>
      </c>
      <c r="C87" s="13">
        <v>0</v>
      </c>
      <c r="D87" s="3">
        <f t="shared" si="6"/>
        <v>0</v>
      </c>
      <c r="E87" s="32" t="s">
        <v>109</v>
      </c>
      <c r="F87" s="32" t="s">
        <v>100</v>
      </c>
    </row>
    <row r="88" spans="1:6" ht="12.75">
      <c r="A88" s="11" t="s">
        <v>62</v>
      </c>
      <c r="B88" s="13">
        <v>21400</v>
      </c>
      <c r="C88" s="13">
        <v>30182.65</v>
      </c>
      <c r="D88" s="3">
        <f t="shared" si="6"/>
        <v>1.4104042056074768</v>
      </c>
      <c r="E88" s="32" t="s">
        <v>109</v>
      </c>
      <c r="F88" s="32" t="s">
        <v>100</v>
      </c>
    </row>
    <row r="89" spans="1:6" ht="12.75">
      <c r="A89" s="21" t="s">
        <v>2</v>
      </c>
      <c r="B89" s="22">
        <f>279990+30838+42651</f>
        <v>353479</v>
      </c>
      <c r="C89" s="22">
        <f>279990+36704.41+41209.5</f>
        <v>357903.91000000003</v>
      </c>
      <c r="D89" s="3">
        <f t="shared" si="6"/>
        <v>1.0125181693962018</v>
      </c>
      <c r="E89" s="32" t="s">
        <v>101</v>
      </c>
      <c r="F89" s="32" t="s">
        <v>102</v>
      </c>
    </row>
    <row r="90" spans="1:6" ht="12.75">
      <c r="A90" s="21" t="s">
        <v>57</v>
      </c>
      <c r="B90" s="22">
        <v>103565</v>
      </c>
      <c r="C90" s="22">
        <f>19120+91972.94</f>
        <v>111092.94</v>
      </c>
      <c r="D90" s="3">
        <f t="shared" si="6"/>
        <v>1.0726880702940182</v>
      </c>
      <c r="E90" s="32" t="s">
        <v>106</v>
      </c>
      <c r="F90" s="32" t="s">
        <v>102</v>
      </c>
    </row>
    <row r="91" spans="1:6" ht="12.75">
      <c r="A91" s="21" t="s">
        <v>112</v>
      </c>
      <c r="B91" s="22">
        <f>11542.5+21750</f>
        <v>33292.5</v>
      </c>
      <c r="C91" s="13">
        <f>11153.7+20159.35</f>
        <v>31313.05</v>
      </c>
      <c r="D91" s="3">
        <f t="shared" si="6"/>
        <v>0.9405436659908387</v>
      </c>
      <c r="E91" s="32" t="s">
        <v>109</v>
      </c>
      <c r="F91" s="32" t="s">
        <v>100</v>
      </c>
    </row>
    <row r="92" spans="1:6" ht="12.75">
      <c r="A92" s="11" t="s">
        <v>43</v>
      </c>
      <c r="B92" s="16">
        <f>51300+46000</f>
        <v>97300</v>
      </c>
      <c r="C92" s="16">
        <f>51300+43916.75</f>
        <v>95216.75</v>
      </c>
      <c r="D92" s="3">
        <f t="shared" si="6"/>
        <v>0.9785894141829393</v>
      </c>
      <c r="E92" s="32" t="s">
        <v>113</v>
      </c>
      <c r="F92" s="32" t="s">
        <v>102</v>
      </c>
    </row>
    <row r="93" spans="1:6" ht="12.75">
      <c r="A93" s="11" t="s">
        <v>132</v>
      </c>
      <c r="B93" s="13">
        <v>80308</v>
      </c>
      <c r="C93" s="13">
        <v>100518</v>
      </c>
      <c r="D93" s="3">
        <f t="shared" si="6"/>
        <v>1.251656123922897</v>
      </c>
      <c r="E93" s="32" t="s">
        <v>101</v>
      </c>
      <c r="F93" s="32" t="s">
        <v>102</v>
      </c>
    </row>
    <row r="94" spans="1:6" ht="12.75">
      <c r="A94" s="11" t="s">
        <v>60</v>
      </c>
      <c r="B94" s="13">
        <f>3500+165000</f>
        <v>168500</v>
      </c>
      <c r="C94" s="13">
        <f>4592.04+139814.1</f>
        <v>144406.14</v>
      </c>
      <c r="D94" s="3">
        <f t="shared" si="6"/>
        <v>0.8570097329376856</v>
      </c>
      <c r="E94" s="32" t="s">
        <v>101</v>
      </c>
      <c r="F94" s="32" t="s">
        <v>102</v>
      </c>
    </row>
    <row r="95" spans="1:6" ht="12.75">
      <c r="A95" s="11" t="s">
        <v>79</v>
      </c>
      <c r="B95" s="13">
        <v>2000</v>
      </c>
      <c r="C95" s="13">
        <v>2250.13</v>
      </c>
      <c r="D95" s="3">
        <f>C95/B95</f>
        <v>1.125065</v>
      </c>
      <c r="E95" s="32" t="s">
        <v>109</v>
      </c>
      <c r="F95" s="32" t="s">
        <v>100</v>
      </c>
    </row>
    <row r="96" spans="1:6" ht="12.75">
      <c r="A96" s="11" t="s">
        <v>74</v>
      </c>
      <c r="B96" s="13">
        <v>16464.76</v>
      </c>
      <c r="C96" s="13">
        <v>16464.76</v>
      </c>
      <c r="D96" s="3">
        <f>C96/B96</f>
        <v>1</v>
      </c>
      <c r="E96" s="32" t="s">
        <v>101</v>
      </c>
      <c r="F96" s="32" t="s">
        <v>100</v>
      </c>
    </row>
    <row r="97" spans="1:6" ht="12.75">
      <c r="A97" s="21" t="s">
        <v>18</v>
      </c>
      <c r="B97" s="13">
        <v>720</v>
      </c>
      <c r="C97" s="13">
        <v>720</v>
      </c>
      <c r="D97" s="3">
        <f>C97/B97</f>
        <v>1</v>
      </c>
      <c r="E97" s="32" t="s">
        <v>109</v>
      </c>
      <c r="F97" s="32" t="s">
        <v>100</v>
      </c>
    </row>
    <row r="98" spans="1:6" ht="12.75">
      <c r="A98" s="11" t="s">
        <v>63</v>
      </c>
      <c r="B98" s="13">
        <f>335800+16910+25263.1</f>
        <v>377973.1</v>
      </c>
      <c r="C98" s="13">
        <f>414112.21+16910+25263</f>
        <v>456285.21</v>
      </c>
      <c r="D98" s="3">
        <f>C98/B98</f>
        <v>1.2071896386277225</v>
      </c>
      <c r="E98" s="32" t="s">
        <v>113</v>
      </c>
      <c r="F98" s="32" t="s">
        <v>100</v>
      </c>
    </row>
    <row r="99" spans="1:6" ht="12.75">
      <c r="A99" s="11" t="s">
        <v>45</v>
      </c>
      <c r="B99" s="13">
        <v>24469.9</v>
      </c>
      <c r="C99" s="13">
        <v>24469.9</v>
      </c>
      <c r="D99" s="3">
        <f>C99/B99</f>
        <v>1</v>
      </c>
      <c r="E99" s="32" t="s">
        <v>109</v>
      </c>
      <c r="F99" s="32" t="s">
        <v>100</v>
      </c>
    </row>
    <row r="100" spans="1:6" ht="30">
      <c r="A100" s="67" t="s">
        <v>13</v>
      </c>
      <c r="B100" s="68"/>
      <c r="C100" s="68"/>
      <c r="D100" s="68"/>
      <c r="E100" s="68"/>
      <c r="F100" s="68"/>
    </row>
    <row r="101" spans="1:6" ht="12.75">
      <c r="A101" s="69" t="s">
        <v>139</v>
      </c>
      <c r="B101" s="70"/>
      <c r="C101" s="70"/>
      <c r="D101" s="70"/>
      <c r="E101" s="70"/>
      <c r="F101" s="70"/>
    </row>
    <row r="102" spans="1:6" ht="12.75">
      <c r="A102" s="37"/>
      <c r="B102" s="35"/>
      <c r="C102" s="35"/>
      <c r="D102" s="36"/>
      <c r="E102" s="26"/>
      <c r="F102" s="26"/>
    </row>
    <row r="103" spans="1:4" ht="12.75">
      <c r="A103" s="6"/>
      <c r="B103" s="7"/>
      <c r="C103" s="28"/>
      <c r="D103" s="18"/>
    </row>
    <row r="104" spans="1:6" ht="12.75">
      <c r="A104" s="26" t="s">
        <v>130</v>
      </c>
      <c r="B104" s="10" t="s">
        <v>28</v>
      </c>
      <c r="C104" s="10" t="s">
        <v>11</v>
      </c>
      <c r="D104" s="30" t="s">
        <v>12</v>
      </c>
      <c r="E104" s="26" t="s">
        <v>85</v>
      </c>
      <c r="F104" s="26" t="s">
        <v>86</v>
      </c>
    </row>
    <row r="105" spans="1:6" ht="12.75">
      <c r="A105" s="11" t="s">
        <v>78</v>
      </c>
      <c r="B105" s="13">
        <f>32385+58765+38000+29593.6+116750</f>
        <v>275493.6</v>
      </c>
      <c r="C105" s="13">
        <f>36352.37+69524.75+50147.5+29594+137133</f>
        <v>322751.62</v>
      </c>
      <c r="D105" s="3">
        <f aca="true" t="shared" si="7" ref="D105:D123">C105/B105</f>
        <v>1.171539447740347</v>
      </c>
      <c r="E105" s="32" t="s">
        <v>101</v>
      </c>
      <c r="F105" s="32" t="s">
        <v>102</v>
      </c>
    </row>
    <row r="106" spans="1:6" ht="12.75">
      <c r="A106" s="11" t="s">
        <v>48</v>
      </c>
      <c r="B106" s="13">
        <v>44500</v>
      </c>
      <c r="C106" s="13">
        <v>42357.5</v>
      </c>
      <c r="D106" s="3">
        <f t="shared" si="7"/>
        <v>0.9518539325842696</v>
      </c>
      <c r="E106" s="32" t="s">
        <v>101</v>
      </c>
      <c r="F106" s="32" t="s">
        <v>102</v>
      </c>
    </row>
    <row r="107" spans="1:6" ht="12.75">
      <c r="A107" s="23" t="s">
        <v>51</v>
      </c>
      <c r="B107" s="22">
        <f>23500+2500</f>
        <v>26000</v>
      </c>
      <c r="C107" s="22">
        <f>33672.03+2500</f>
        <v>36172.03</v>
      </c>
      <c r="D107" s="3">
        <f t="shared" si="7"/>
        <v>1.391231923076923</v>
      </c>
      <c r="E107" s="32" t="s">
        <v>113</v>
      </c>
      <c r="F107" s="32" t="s">
        <v>102</v>
      </c>
    </row>
    <row r="108" spans="1:6" ht="12.75">
      <c r="A108" s="11" t="s">
        <v>65</v>
      </c>
      <c r="B108" s="13">
        <f>155000+7000+11694.66</f>
        <v>173694.66</v>
      </c>
      <c r="C108" s="13">
        <f>203739.61+16816.38+11694.66</f>
        <v>232250.65</v>
      </c>
      <c r="D108" s="3">
        <f t="shared" si="7"/>
        <v>1.3371202661037478</v>
      </c>
      <c r="E108" s="32" t="s">
        <v>113</v>
      </c>
      <c r="F108" s="32" t="s">
        <v>102</v>
      </c>
    </row>
    <row r="109" spans="1:6" ht="12.75">
      <c r="A109" s="21" t="s">
        <v>64</v>
      </c>
      <c r="B109" s="22">
        <v>15000</v>
      </c>
      <c r="C109" s="22">
        <v>23150.78</v>
      </c>
      <c r="D109" s="3">
        <f t="shared" si="7"/>
        <v>1.5433853333333332</v>
      </c>
      <c r="E109" s="32" t="s">
        <v>104</v>
      </c>
      <c r="F109" s="32" t="s">
        <v>102</v>
      </c>
    </row>
    <row r="110" spans="1:6" ht="12.75">
      <c r="A110" s="11" t="s">
        <v>80</v>
      </c>
      <c r="B110" s="13">
        <v>4000</v>
      </c>
      <c r="C110" s="13">
        <v>5429.55</v>
      </c>
      <c r="D110" s="3">
        <f t="shared" si="7"/>
        <v>1.3573875</v>
      </c>
      <c r="E110" s="32" t="s">
        <v>109</v>
      </c>
      <c r="F110" s="32" t="s">
        <v>100</v>
      </c>
    </row>
    <row r="111" spans="1:6" ht="12.75">
      <c r="A111" s="21" t="s">
        <v>76</v>
      </c>
      <c r="B111" s="22">
        <v>170221.74</v>
      </c>
      <c r="C111" s="22">
        <v>201661.78</v>
      </c>
      <c r="D111" s="3">
        <f t="shared" si="7"/>
        <v>1.1847004971280402</v>
      </c>
      <c r="E111" s="32" t="s">
        <v>101</v>
      </c>
      <c r="F111" s="32" t="s">
        <v>102</v>
      </c>
    </row>
    <row r="112" spans="1:6" ht="12.75">
      <c r="A112" s="21" t="s">
        <v>58</v>
      </c>
      <c r="B112" s="22">
        <f>122859+25247</f>
        <v>148106</v>
      </c>
      <c r="C112" s="22">
        <f>137030.5+14659.84</f>
        <v>151690.34</v>
      </c>
      <c r="D112" s="3">
        <f t="shared" si="7"/>
        <v>1.024201180235777</v>
      </c>
      <c r="E112" s="32" t="s">
        <v>101</v>
      </c>
      <c r="F112" s="32" t="s">
        <v>102</v>
      </c>
    </row>
    <row r="113" spans="1:6" ht="12.75">
      <c r="A113" s="21" t="s">
        <v>70</v>
      </c>
      <c r="B113" s="22">
        <v>3937.79</v>
      </c>
      <c r="C113" s="22">
        <v>3938</v>
      </c>
      <c r="D113" s="3">
        <f t="shared" si="7"/>
        <v>1.0000533294055802</v>
      </c>
      <c r="E113" s="32" t="s">
        <v>104</v>
      </c>
      <c r="F113" s="32" t="s">
        <v>102</v>
      </c>
    </row>
    <row r="114" spans="1:6" ht="12.75">
      <c r="A114" s="11" t="s">
        <v>47</v>
      </c>
      <c r="B114" s="13">
        <v>16435.96</v>
      </c>
      <c r="C114" s="13">
        <v>16435.96</v>
      </c>
      <c r="D114" s="3">
        <f t="shared" si="7"/>
        <v>1</v>
      </c>
      <c r="E114" s="32" t="s">
        <v>109</v>
      </c>
      <c r="F114" s="32" t="s">
        <v>100</v>
      </c>
    </row>
    <row r="115" spans="1:6" ht="12.75">
      <c r="A115" s="21" t="s">
        <v>55</v>
      </c>
      <c r="B115" s="22">
        <f>190000+62000</f>
        <v>252000</v>
      </c>
      <c r="C115" s="22">
        <f>137302.49+62218.99</f>
        <v>199521.47999999998</v>
      </c>
      <c r="D115" s="3">
        <f t="shared" si="7"/>
        <v>0.7917519047619047</v>
      </c>
      <c r="E115" s="32" t="s">
        <v>101</v>
      </c>
      <c r="F115" s="32" t="s">
        <v>102</v>
      </c>
    </row>
    <row r="116" spans="1:6" ht="12.75">
      <c r="A116" s="21" t="s">
        <v>53</v>
      </c>
      <c r="B116" s="22">
        <v>105751.25</v>
      </c>
      <c r="C116" s="13">
        <v>105751.25</v>
      </c>
      <c r="D116" s="3">
        <f t="shared" si="7"/>
        <v>1</v>
      </c>
      <c r="E116" s="32" t="s">
        <v>109</v>
      </c>
      <c r="F116" s="32" t="s">
        <v>100</v>
      </c>
    </row>
    <row r="117" spans="1:6" ht="12.75">
      <c r="A117" s="11" t="s">
        <v>83</v>
      </c>
      <c r="B117" s="13">
        <v>39565</v>
      </c>
      <c r="C117" s="13">
        <v>46767</v>
      </c>
      <c r="D117" s="3">
        <f t="shared" si="7"/>
        <v>1.1820295715910527</v>
      </c>
      <c r="E117" s="32" t="s">
        <v>101</v>
      </c>
      <c r="F117" s="32" t="s">
        <v>102</v>
      </c>
    </row>
    <row r="118" spans="1:6" ht="12.75">
      <c r="A118" s="11" t="s">
        <v>82</v>
      </c>
      <c r="B118" s="16">
        <f>283793.71+39242.32+6740+7459+7863+26967</f>
        <v>372065.03</v>
      </c>
      <c r="C118" s="16">
        <f>283793.71+39242.32+6740+16021.44+14543+101426.37</f>
        <v>461766.84</v>
      </c>
      <c r="D118" s="3">
        <f t="shared" si="7"/>
        <v>1.241091752159562</v>
      </c>
      <c r="E118" s="32" t="s">
        <v>104</v>
      </c>
      <c r="F118" s="32" t="s">
        <v>102</v>
      </c>
    </row>
    <row r="119" spans="1:6" ht="12.75">
      <c r="A119" s="21" t="s">
        <v>116</v>
      </c>
      <c r="B119" s="22">
        <f>165000+160000</f>
        <v>325000</v>
      </c>
      <c r="C119" s="22">
        <f>142321.25+244974.5</f>
        <v>387295.75</v>
      </c>
      <c r="D119" s="3">
        <f t="shared" si="7"/>
        <v>1.1916792307692308</v>
      </c>
      <c r="E119" s="32" t="s">
        <v>109</v>
      </c>
      <c r="F119" s="32" t="s">
        <v>100</v>
      </c>
    </row>
    <row r="120" spans="1:6" ht="12.75">
      <c r="A120" s="21" t="s">
        <v>66</v>
      </c>
      <c r="B120" s="22">
        <v>34700</v>
      </c>
      <c r="C120" s="22">
        <v>35908.5</v>
      </c>
      <c r="D120" s="3">
        <f t="shared" si="7"/>
        <v>1.0348270893371758</v>
      </c>
      <c r="E120" s="32" t="s">
        <v>104</v>
      </c>
      <c r="F120" s="32" t="s">
        <v>102</v>
      </c>
    </row>
    <row r="121" spans="1:6" ht="12.75">
      <c r="A121" s="11" t="s">
        <v>67</v>
      </c>
      <c r="B121" s="13">
        <v>6400</v>
      </c>
      <c r="C121" s="13">
        <v>6400</v>
      </c>
      <c r="D121" s="3">
        <f t="shared" si="7"/>
        <v>1</v>
      </c>
      <c r="E121" s="32" t="s">
        <v>104</v>
      </c>
      <c r="F121" s="32" t="s">
        <v>102</v>
      </c>
    </row>
    <row r="122" spans="1:6" ht="12.75">
      <c r="A122" s="21" t="s">
        <v>49</v>
      </c>
      <c r="B122" s="22">
        <f>317884+1391942</f>
        <v>1709826</v>
      </c>
      <c r="C122" s="22">
        <f>317884+1391942</f>
        <v>1709826</v>
      </c>
      <c r="D122" s="3">
        <f t="shared" si="7"/>
        <v>1</v>
      </c>
      <c r="E122" s="32" t="s">
        <v>106</v>
      </c>
      <c r="F122" s="32" t="s">
        <v>102</v>
      </c>
    </row>
    <row r="123" spans="1:6" ht="12.75">
      <c r="A123" s="11" t="s">
        <v>117</v>
      </c>
      <c r="B123" s="13">
        <v>4000</v>
      </c>
      <c r="C123" s="13">
        <v>5128.24</v>
      </c>
      <c r="D123" s="3">
        <f t="shared" si="7"/>
        <v>1.28206</v>
      </c>
      <c r="E123" s="32" t="s">
        <v>109</v>
      </c>
      <c r="F123" s="32" t="s">
        <v>100</v>
      </c>
    </row>
    <row r="124" spans="1:6" ht="12.75">
      <c r="A124" s="51" t="s">
        <v>127</v>
      </c>
      <c r="B124" s="41">
        <f>SUM(B55:B123)</f>
        <v>10468212.15</v>
      </c>
      <c r="C124" s="61">
        <f>SUM(C55:C123)</f>
        <v>11303352.82</v>
      </c>
      <c r="D124" s="62">
        <f>(C124/B124)-1</f>
        <v>0.07977872993336299</v>
      </c>
      <c r="E124" s="43"/>
      <c r="F124" s="43"/>
    </row>
    <row r="127" spans="1:6" ht="12.75">
      <c r="A127" s="26" t="s">
        <v>16</v>
      </c>
      <c r="B127" s="10" t="s">
        <v>28</v>
      </c>
      <c r="C127" s="10" t="s">
        <v>11</v>
      </c>
      <c r="D127" s="30" t="s">
        <v>12</v>
      </c>
      <c r="E127" s="26" t="s">
        <v>85</v>
      </c>
      <c r="F127" s="26" t="s">
        <v>86</v>
      </c>
    </row>
    <row r="128" spans="1:6" ht="12.75">
      <c r="A128" s="11" t="s">
        <v>36</v>
      </c>
      <c r="B128" s="17">
        <v>1000</v>
      </c>
      <c r="C128" s="13">
        <v>1000</v>
      </c>
      <c r="D128" s="3">
        <f aca="true" t="shared" si="8" ref="D128:D148">C128/B128</f>
        <v>1</v>
      </c>
      <c r="E128" s="32" t="s">
        <v>109</v>
      </c>
      <c r="F128" s="32" t="s">
        <v>102</v>
      </c>
    </row>
    <row r="129" spans="1:6" ht="12.75">
      <c r="A129" s="11" t="s">
        <v>32</v>
      </c>
      <c r="B129" s="14">
        <v>7497</v>
      </c>
      <c r="C129" s="13">
        <v>7497</v>
      </c>
      <c r="D129" s="3">
        <f t="shared" si="8"/>
        <v>1</v>
      </c>
      <c r="E129" s="32" t="s">
        <v>109</v>
      </c>
      <c r="F129" s="32" t="s">
        <v>100</v>
      </c>
    </row>
    <row r="130" spans="1:6" ht="12.75">
      <c r="A130" s="11" t="s">
        <v>21</v>
      </c>
      <c r="B130" s="12">
        <v>3105</v>
      </c>
      <c r="C130" s="13">
        <f>2600+505</f>
        <v>3105</v>
      </c>
      <c r="D130" s="3">
        <f t="shared" si="8"/>
        <v>1</v>
      </c>
      <c r="E130" s="32" t="s">
        <v>106</v>
      </c>
      <c r="F130" s="32" t="s">
        <v>102</v>
      </c>
    </row>
    <row r="131" spans="1:6" ht="12.75">
      <c r="A131" s="11" t="s">
        <v>29</v>
      </c>
      <c r="B131" s="12">
        <v>20160</v>
      </c>
      <c r="C131" s="13">
        <v>20160</v>
      </c>
      <c r="D131" s="3">
        <f t="shared" si="8"/>
        <v>1</v>
      </c>
      <c r="E131" s="32" t="s">
        <v>109</v>
      </c>
      <c r="F131" s="32" t="s">
        <v>100</v>
      </c>
    </row>
    <row r="132" spans="1:6" ht="12.75">
      <c r="A132" s="11" t="s">
        <v>24</v>
      </c>
      <c r="B132" s="13">
        <v>7800</v>
      </c>
      <c r="C132" s="12">
        <v>4324</v>
      </c>
      <c r="D132" s="3">
        <f t="shared" si="8"/>
        <v>0.5543589743589744</v>
      </c>
      <c r="E132" s="32" t="s">
        <v>109</v>
      </c>
      <c r="F132" s="32" t="s">
        <v>100</v>
      </c>
    </row>
    <row r="133" spans="1:6" ht="12.75">
      <c r="A133" s="11" t="s">
        <v>25</v>
      </c>
      <c r="B133" s="13">
        <v>2400</v>
      </c>
      <c r="C133" s="12">
        <v>2420</v>
      </c>
      <c r="D133" s="3">
        <f t="shared" si="8"/>
        <v>1.0083333333333333</v>
      </c>
      <c r="E133" s="32" t="s">
        <v>106</v>
      </c>
      <c r="F133" s="32" t="s">
        <v>102</v>
      </c>
    </row>
    <row r="134" spans="1:6" ht="12.75">
      <c r="A134" s="11" t="s">
        <v>23</v>
      </c>
      <c r="B134" s="20">
        <v>3019.6</v>
      </c>
      <c r="C134" s="12">
        <v>3019.57</v>
      </c>
      <c r="D134" s="3">
        <f t="shared" si="8"/>
        <v>0.9999900649092596</v>
      </c>
      <c r="E134" s="32" t="s">
        <v>106</v>
      </c>
      <c r="F134" s="32" t="s">
        <v>102</v>
      </c>
    </row>
    <row r="135" spans="1:6" ht="12.75">
      <c r="A135" s="11" t="s">
        <v>31</v>
      </c>
      <c r="B135" s="13">
        <f>19397.53+3326+2300+2300</f>
        <v>27323.53</v>
      </c>
      <c r="C135" s="13">
        <f>15975.98+3326+2300+2300</f>
        <v>23901.98</v>
      </c>
      <c r="D135" s="3">
        <f t="shared" si="8"/>
        <v>0.8747764289606798</v>
      </c>
      <c r="E135" s="32" t="s">
        <v>106</v>
      </c>
      <c r="F135" s="32" t="s">
        <v>100</v>
      </c>
    </row>
    <row r="136" spans="1:6" ht="12.75">
      <c r="A136" s="11" t="s">
        <v>18</v>
      </c>
      <c r="B136" s="12">
        <f>1835+10775+695</f>
        <v>13305</v>
      </c>
      <c r="C136" s="13">
        <f>5967.5+10775+695</f>
        <v>17437.5</v>
      </c>
      <c r="D136" s="3">
        <f t="shared" si="8"/>
        <v>1.310597519729425</v>
      </c>
      <c r="E136" s="32" t="s">
        <v>109</v>
      </c>
      <c r="F136" s="32" t="s">
        <v>100</v>
      </c>
    </row>
    <row r="137" spans="1:6" ht="12.75">
      <c r="A137" s="11" t="s">
        <v>26</v>
      </c>
      <c r="B137" s="12">
        <v>9170</v>
      </c>
      <c r="C137" s="12">
        <v>4387.75</v>
      </c>
      <c r="D137" s="3">
        <f t="shared" si="8"/>
        <v>0.4784896401308615</v>
      </c>
      <c r="E137" s="32" t="s">
        <v>106</v>
      </c>
      <c r="F137" s="32" t="s">
        <v>100</v>
      </c>
    </row>
    <row r="138" spans="1:6" ht="12.75">
      <c r="A138" s="11" t="s">
        <v>118</v>
      </c>
      <c r="B138" s="13">
        <v>8825</v>
      </c>
      <c r="C138" s="13">
        <v>8825</v>
      </c>
      <c r="D138" s="3">
        <f t="shared" si="8"/>
        <v>1</v>
      </c>
      <c r="E138" s="32" t="s">
        <v>109</v>
      </c>
      <c r="F138" s="32" t="s">
        <v>100</v>
      </c>
    </row>
    <row r="139" spans="1:6" ht="12.75">
      <c r="A139" s="11" t="s">
        <v>22</v>
      </c>
      <c r="B139" s="12">
        <f>4457+6660+41783+25800+54156</f>
        <v>132856</v>
      </c>
      <c r="C139" s="12">
        <f>4457+6660+41783+25800+50106.16</f>
        <v>128806.16</v>
      </c>
      <c r="D139" s="3">
        <f t="shared" si="8"/>
        <v>0.9695170711145903</v>
      </c>
      <c r="E139" s="32" t="s">
        <v>106</v>
      </c>
      <c r="F139" s="32" t="s">
        <v>102</v>
      </c>
    </row>
    <row r="140" spans="1:6" ht="12.75">
      <c r="A140" s="11" t="s">
        <v>30</v>
      </c>
      <c r="B140" s="13">
        <f>18470+16995.4</f>
        <v>35465.4</v>
      </c>
      <c r="C140" s="13">
        <f>18470+16995.4</f>
        <v>35465.4</v>
      </c>
      <c r="D140" s="3">
        <f t="shared" si="8"/>
        <v>1</v>
      </c>
      <c r="E140" s="32" t="s">
        <v>109</v>
      </c>
      <c r="F140" s="32" t="s">
        <v>100</v>
      </c>
    </row>
    <row r="141" spans="1:6" ht="12.75">
      <c r="A141" s="11" t="s">
        <v>19</v>
      </c>
      <c r="B141" s="13">
        <v>13757.6</v>
      </c>
      <c r="C141" s="13">
        <v>7585</v>
      </c>
      <c r="D141" s="3">
        <f t="shared" si="8"/>
        <v>0.5513316276094667</v>
      </c>
      <c r="E141" s="32" t="s">
        <v>113</v>
      </c>
      <c r="F141" s="32" t="s">
        <v>102</v>
      </c>
    </row>
    <row r="142" spans="1:6" ht="12.75">
      <c r="A142" s="11" t="s">
        <v>27</v>
      </c>
      <c r="B142" s="12">
        <f>2724+2724</f>
        <v>5448</v>
      </c>
      <c r="C142" s="12">
        <f>2724+2724</f>
        <v>5448</v>
      </c>
      <c r="D142" s="3">
        <f t="shared" si="8"/>
        <v>1</v>
      </c>
      <c r="E142" s="32" t="s">
        <v>101</v>
      </c>
      <c r="F142" s="32" t="s">
        <v>102</v>
      </c>
    </row>
    <row r="143" spans="1:6" ht="12.75">
      <c r="A143" s="11" t="s">
        <v>20</v>
      </c>
      <c r="B143" s="13">
        <v>3100</v>
      </c>
      <c r="C143" s="13">
        <v>3285</v>
      </c>
      <c r="D143" s="3">
        <f t="shared" si="8"/>
        <v>1.0596774193548386</v>
      </c>
      <c r="E143" s="32" t="s">
        <v>104</v>
      </c>
      <c r="F143" s="32" t="s">
        <v>102</v>
      </c>
    </row>
    <row r="144" spans="1:6" ht="12.75">
      <c r="A144" s="15" t="s">
        <v>35</v>
      </c>
      <c r="B144" s="16">
        <v>37100</v>
      </c>
      <c r="C144" s="13">
        <v>37100</v>
      </c>
      <c r="D144" s="3">
        <f t="shared" si="8"/>
        <v>1</v>
      </c>
      <c r="E144" s="32" t="s">
        <v>101</v>
      </c>
      <c r="F144" s="32" t="s">
        <v>102</v>
      </c>
    </row>
    <row r="145" spans="1:6" ht="12.75">
      <c r="A145" s="21" t="s">
        <v>49</v>
      </c>
      <c r="B145" s="12">
        <v>16290</v>
      </c>
      <c r="C145" s="13">
        <v>16290</v>
      </c>
      <c r="D145" s="3">
        <f t="shared" si="8"/>
        <v>1</v>
      </c>
      <c r="E145" s="32" t="s">
        <v>106</v>
      </c>
      <c r="F145" s="32" t="s">
        <v>102</v>
      </c>
    </row>
    <row r="146" spans="1:6" ht="12.75">
      <c r="A146" s="11" t="s">
        <v>37</v>
      </c>
      <c r="B146" s="13">
        <v>23787.5</v>
      </c>
      <c r="C146" s="13">
        <v>23787.5</v>
      </c>
      <c r="D146" s="3">
        <f t="shared" si="8"/>
        <v>1</v>
      </c>
      <c r="E146" s="32" t="s">
        <v>109</v>
      </c>
      <c r="F146" s="32" t="s">
        <v>100</v>
      </c>
    </row>
    <row r="147" spans="1:6" ht="12.75">
      <c r="A147" s="11" t="s">
        <v>33</v>
      </c>
      <c r="B147" s="12">
        <v>390.5</v>
      </c>
      <c r="C147" s="13">
        <v>390.5</v>
      </c>
      <c r="D147" s="3">
        <f t="shared" si="8"/>
        <v>1</v>
      </c>
      <c r="E147" s="32" t="s">
        <v>109</v>
      </c>
      <c r="F147" s="32" t="s">
        <v>100</v>
      </c>
    </row>
    <row r="148" spans="1:6" ht="12.75">
      <c r="A148" s="11" t="s">
        <v>34</v>
      </c>
      <c r="B148" s="13">
        <f>2280+2665</f>
        <v>4945</v>
      </c>
      <c r="C148" s="12">
        <f>2280+2665</f>
        <v>4945</v>
      </c>
      <c r="D148" s="3">
        <f t="shared" si="8"/>
        <v>1</v>
      </c>
      <c r="E148" s="32" t="s">
        <v>101</v>
      </c>
      <c r="F148" s="32" t="s">
        <v>100</v>
      </c>
    </row>
    <row r="149" spans="1:6" ht="12.75">
      <c r="A149" s="51" t="s">
        <v>127</v>
      </c>
      <c r="B149" s="61">
        <f>SUM(B128:B148)</f>
        <v>376745.13</v>
      </c>
      <c r="C149" s="61">
        <f>SUM(C128:C148)</f>
        <v>359180.36</v>
      </c>
      <c r="D149" s="63">
        <f>(C149/B149)-1</f>
        <v>-0.046622420839255496</v>
      </c>
      <c r="E149" s="43"/>
      <c r="F149" s="43"/>
    </row>
    <row r="150" spans="1:6" ht="30">
      <c r="A150" s="71" t="s">
        <v>13</v>
      </c>
      <c r="B150" s="71"/>
      <c r="C150" s="71"/>
      <c r="D150" s="71"/>
      <c r="E150" s="71"/>
      <c r="F150" s="71"/>
    </row>
    <row r="151" spans="1:6" ht="12.75">
      <c r="A151" s="69" t="s">
        <v>139</v>
      </c>
      <c r="B151" s="69"/>
      <c r="C151" s="69"/>
      <c r="D151" s="69"/>
      <c r="E151" s="69"/>
      <c r="F151" s="69"/>
    </row>
    <row r="152" spans="1:4" ht="12.75">
      <c r="A152" s="6"/>
      <c r="B152" s="7"/>
      <c r="C152" s="28"/>
      <c r="D152" s="18"/>
    </row>
    <row r="154" spans="1:6" ht="12.75">
      <c r="A154" s="26" t="s">
        <v>17</v>
      </c>
      <c r="B154" s="10" t="s">
        <v>28</v>
      </c>
      <c r="C154" s="10" t="s">
        <v>11</v>
      </c>
      <c r="D154" s="30" t="s">
        <v>12</v>
      </c>
      <c r="E154" s="26" t="s">
        <v>85</v>
      </c>
      <c r="F154" s="26" t="s">
        <v>86</v>
      </c>
    </row>
    <row r="155" spans="1:6" ht="12.75">
      <c r="A155" s="27" t="s">
        <v>90</v>
      </c>
      <c r="B155" s="31">
        <v>25000</v>
      </c>
      <c r="C155" s="31">
        <v>25000</v>
      </c>
      <c r="D155" s="3">
        <f aca="true" t="shared" si="9" ref="D155:D166">C155/B155</f>
        <v>1</v>
      </c>
      <c r="E155" s="33" t="s">
        <v>106</v>
      </c>
      <c r="F155" s="33" t="s">
        <v>100</v>
      </c>
    </row>
    <row r="156" spans="1:6" ht="12.75">
      <c r="A156" s="27" t="s">
        <v>98</v>
      </c>
      <c r="B156" s="31">
        <v>11250</v>
      </c>
      <c r="C156" s="31">
        <v>11250</v>
      </c>
      <c r="D156" s="3">
        <f t="shared" si="9"/>
        <v>1</v>
      </c>
      <c r="E156" s="33" t="s">
        <v>106</v>
      </c>
      <c r="F156" s="33" t="s">
        <v>102</v>
      </c>
    </row>
    <row r="157" spans="1:6" ht="12.75">
      <c r="A157" s="27" t="s">
        <v>95</v>
      </c>
      <c r="B157" s="31">
        <v>49640</v>
      </c>
      <c r="C157" s="31">
        <v>49640</v>
      </c>
      <c r="D157" s="3">
        <f t="shared" si="9"/>
        <v>1</v>
      </c>
      <c r="E157" s="33" t="s">
        <v>101</v>
      </c>
      <c r="F157" s="33" t="s">
        <v>102</v>
      </c>
    </row>
    <row r="158" spans="1:6" ht="12.75">
      <c r="A158" s="27" t="s">
        <v>92</v>
      </c>
      <c r="B158" s="31">
        <v>30000</v>
      </c>
      <c r="C158" s="31">
        <v>30000</v>
      </c>
      <c r="D158" s="3">
        <f t="shared" si="9"/>
        <v>1</v>
      </c>
      <c r="E158" s="33" t="s">
        <v>101</v>
      </c>
      <c r="F158" s="33" t="s">
        <v>102</v>
      </c>
    </row>
    <row r="159" spans="1:6" ht="12.75">
      <c r="A159" s="27" t="s">
        <v>94</v>
      </c>
      <c r="B159" s="31">
        <v>288883</v>
      </c>
      <c r="C159" s="31">
        <v>288883</v>
      </c>
      <c r="D159" s="3">
        <f t="shared" si="9"/>
        <v>1</v>
      </c>
      <c r="E159" s="33" t="s">
        <v>109</v>
      </c>
      <c r="F159" s="33" t="s">
        <v>100</v>
      </c>
    </row>
    <row r="160" spans="1:6" ht="12.75">
      <c r="A160" s="27" t="s">
        <v>97</v>
      </c>
      <c r="B160" s="31">
        <v>10000</v>
      </c>
      <c r="C160" s="31">
        <v>10000</v>
      </c>
      <c r="D160" s="3">
        <f t="shared" si="9"/>
        <v>1</v>
      </c>
      <c r="E160" s="33" t="s">
        <v>109</v>
      </c>
      <c r="F160" s="33" t="s">
        <v>100</v>
      </c>
    </row>
    <row r="161" spans="1:6" ht="12.75">
      <c r="A161" s="27" t="s">
        <v>91</v>
      </c>
      <c r="B161" s="31">
        <v>15000</v>
      </c>
      <c r="C161" s="31">
        <v>15000</v>
      </c>
      <c r="D161" s="3">
        <f t="shared" si="9"/>
        <v>1</v>
      </c>
      <c r="E161" s="33" t="s">
        <v>113</v>
      </c>
      <c r="F161" s="33" t="s">
        <v>102</v>
      </c>
    </row>
    <row r="162" spans="1:6" ht="12.75">
      <c r="A162" s="27" t="s">
        <v>89</v>
      </c>
      <c r="B162" s="31">
        <v>637.5</v>
      </c>
      <c r="C162" s="31">
        <v>637.5</v>
      </c>
      <c r="D162" s="3">
        <f t="shared" si="9"/>
        <v>1</v>
      </c>
      <c r="E162" s="33" t="s">
        <v>106</v>
      </c>
      <c r="F162" s="33" t="s">
        <v>100</v>
      </c>
    </row>
    <row r="163" spans="1:6" ht="12.75">
      <c r="A163" s="1" t="s">
        <v>87</v>
      </c>
      <c r="B163" s="2">
        <f>25895.76+28578.22</f>
        <v>54473.979999999996</v>
      </c>
      <c r="C163" s="2">
        <f>6360+9889.56</f>
        <v>16249.56</v>
      </c>
      <c r="D163" s="3">
        <f t="shared" si="9"/>
        <v>0.29829948169750037</v>
      </c>
      <c r="E163" s="32" t="s">
        <v>101</v>
      </c>
      <c r="F163" s="32" t="s">
        <v>102</v>
      </c>
    </row>
    <row r="164" spans="1:6" ht="12.75">
      <c r="A164" s="1" t="s">
        <v>88</v>
      </c>
      <c r="B164" s="2">
        <f>260091+10200</f>
        <v>270291</v>
      </c>
      <c r="C164" s="2">
        <f>260091+10200</f>
        <v>270291</v>
      </c>
      <c r="D164" s="3">
        <f t="shared" si="9"/>
        <v>1</v>
      </c>
      <c r="E164" s="32" t="s">
        <v>106</v>
      </c>
      <c r="F164" s="32" t="s">
        <v>102</v>
      </c>
    </row>
    <row r="165" spans="1:6" ht="12.75">
      <c r="A165" s="11" t="s">
        <v>93</v>
      </c>
      <c r="B165" s="31">
        <v>7200</v>
      </c>
      <c r="C165" s="31">
        <v>7200</v>
      </c>
      <c r="D165" s="3">
        <f t="shared" si="9"/>
        <v>1</v>
      </c>
      <c r="E165" s="33" t="s">
        <v>109</v>
      </c>
      <c r="F165" s="33" t="s">
        <v>100</v>
      </c>
    </row>
    <row r="166" spans="1:6" ht="12.75">
      <c r="A166" s="27" t="s">
        <v>96</v>
      </c>
      <c r="B166" s="31">
        <f>19999+13600</f>
        <v>33599</v>
      </c>
      <c r="C166" s="31">
        <f>19999+13600</f>
        <v>33599</v>
      </c>
      <c r="D166" s="3">
        <f t="shared" si="9"/>
        <v>1</v>
      </c>
      <c r="E166" s="33" t="s">
        <v>106</v>
      </c>
      <c r="F166" s="33" t="s">
        <v>100</v>
      </c>
    </row>
    <row r="167" spans="1:6" ht="12.75">
      <c r="A167" s="27" t="s">
        <v>115</v>
      </c>
      <c r="B167" s="31">
        <v>49825</v>
      </c>
      <c r="C167" s="31">
        <v>49825</v>
      </c>
      <c r="D167" s="3">
        <f>C167/B167</f>
        <v>1</v>
      </c>
      <c r="E167" s="33" t="s">
        <v>106</v>
      </c>
      <c r="F167" s="33" t="s">
        <v>102</v>
      </c>
    </row>
    <row r="168" spans="1:6" ht="12.75">
      <c r="A168" s="51" t="s">
        <v>127</v>
      </c>
      <c r="B168" s="41">
        <f>SUM(B155:B167)</f>
        <v>845799.48</v>
      </c>
      <c r="C168" s="61">
        <f>SUM(C155:C167)</f>
        <v>807575.06</v>
      </c>
      <c r="D168" s="63">
        <f>(C168/B168)-1</f>
        <v>-0.045193241310576227</v>
      </c>
      <c r="E168" s="43"/>
      <c r="F168" s="43"/>
    </row>
    <row r="171" spans="1:6" ht="12.75">
      <c r="A171" s="26" t="s">
        <v>3</v>
      </c>
      <c r="B171" s="10" t="s">
        <v>11</v>
      </c>
      <c r="C171" s="10" t="s">
        <v>11</v>
      </c>
      <c r="D171" s="30" t="s">
        <v>12</v>
      </c>
      <c r="E171" s="26" t="s">
        <v>85</v>
      </c>
      <c r="F171" s="26" t="s">
        <v>86</v>
      </c>
    </row>
    <row r="172" spans="1:6" ht="14.25">
      <c r="A172" s="1" t="s">
        <v>5</v>
      </c>
      <c r="B172" s="2">
        <v>6550</v>
      </c>
      <c r="C172" s="2">
        <v>6550</v>
      </c>
      <c r="D172" s="3">
        <f>C172/B172</f>
        <v>1</v>
      </c>
      <c r="E172" s="32" t="s">
        <v>113</v>
      </c>
      <c r="F172" s="32" t="s">
        <v>102</v>
      </c>
    </row>
    <row r="173" spans="1:6" ht="14.25">
      <c r="A173" s="1" t="s">
        <v>6</v>
      </c>
      <c r="B173" s="2">
        <v>2420.42</v>
      </c>
      <c r="C173" s="2">
        <v>2420.42</v>
      </c>
      <c r="D173" s="4">
        <f>C173/B173</f>
        <v>1</v>
      </c>
      <c r="E173" s="32" t="s">
        <v>104</v>
      </c>
      <c r="F173" s="32" t="s">
        <v>100</v>
      </c>
    </row>
    <row r="174" spans="1:6" ht="14.25">
      <c r="A174" s="1" t="s">
        <v>7</v>
      </c>
      <c r="B174" s="2">
        <f>5155.66+25969</f>
        <v>31124.66</v>
      </c>
      <c r="C174" s="2">
        <f>5155.66+25969</f>
        <v>31124.66</v>
      </c>
      <c r="D174" s="4">
        <f>C174/B174</f>
        <v>1</v>
      </c>
      <c r="E174" s="32" t="s">
        <v>109</v>
      </c>
      <c r="F174" s="32" t="s">
        <v>100</v>
      </c>
    </row>
    <row r="175" spans="1:6" ht="14.25">
      <c r="A175" s="1" t="s">
        <v>4</v>
      </c>
      <c r="B175" s="2">
        <v>108807.3</v>
      </c>
      <c r="C175" s="2">
        <v>67148.29</v>
      </c>
      <c r="D175" s="4">
        <f>C175/B175</f>
        <v>0.6171303763626153</v>
      </c>
      <c r="E175" s="32" t="s">
        <v>101</v>
      </c>
      <c r="F175" s="32" t="s">
        <v>102</v>
      </c>
    </row>
    <row r="176" spans="1:6" ht="14.25">
      <c r="A176" s="1" t="s">
        <v>8</v>
      </c>
      <c r="B176" s="2">
        <v>616.56</v>
      </c>
      <c r="C176" s="2">
        <v>616.56</v>
      </c>
      <c r="D176" s="4">
        <f>C176/B176</f>
        <v>1</v>
      </c>
      <c r="E176" s="32" t="s">
        <v>101</v>
      </c>
      <c r="F176" s="32" t="s">
        <v>102</v>
      </c>
    </row>
    <row r="177" spans="1:6" ht="14.25">
      <c r="A177" s="1" t="s">
        <v>9</v>
      </c>
      <c r="B177" s="2">
        <v>0</v>
      </c>
      <c r="C177" s="2">
        <v>0</v>
      </c>
      <c r="D177" s="3">
        <v>0</v>
      </c>
      <c r="E177" s="32" t="s">
        <v>113</v>
      </c>
      <c r="F177" s="32" t="s">
        <v>102</v>
      </c>
    </row>
    <row r="178" spans="1:6" ht="14.25">
      <c r="A178" s="1" t="s">
        <v>99</v>
      </c>
      <c r="B178" s="2">
        <f>4917.47+11089.91+41669</f>
        <v>57676.380000000005</v>
      </c>
      <c r="C178" s="2">
        <f>4917.47+11089.91+41669</f>
        <v>57676.380000000005</v>
      </c>
      <c r="D178" s="3">
        <f>C178/B178</f>
        <v>1</v>
      </c>
      <c r="E178" s="32" t="s">
        <v>101</v>
      </c>
      <c r="F178" s="32" t="s">
        <v>102</v>
      </c>
    </row>
    <row r="179" spans="1:6" ht="14.25">
      <c r="A179" s="1" t="s">
        <v>10</v>
      </c>
      <c r="B179" s="5">
        <v>9844.81</v>
      </c>
      <c r="C179" s="5">
        <v>9844.81</v>
      </c>
      <c r="D179" s="4">
        <f>C179/B179</f>
        <v>1</v>
      </c>
      <c r="E179" s="32" t="s">
        <v>109</v>
      </c>
      <c r="F179" s="32" t="s">
        <v>100</v>
      </c>
    </row>
    <row r="180" spans="1:6" ht="12.75">
      <c r="A180" s="51" t="s">
        <v>127</v>
      </c>
      <c r="B180" s="41">
        <f>SUM(B172:B179)</f>
        <v>217040.13</v>
      </c>
      <c r="C180" s="61">
        <f>SUM(C172:C179)</f>
        <v>175381.12</v>
      </c>
      <c r="D180" s="63">
        <f>(C180/B180)-1</f>
        <v>-0.1919415086970322</v>
      </c>
      <c r="E180" s="43"/>
      <c r="F180" s="43"/>
    </row>
    <row r="181" spans="1:6" ht="12.75">
      <c r="A181" s="49" t="s">
        <v>134</v>
      </c>
      <c r="B181" s="50"/>
      <c r="C181" s="50"/>
      <c r="D181" s="48"/>
      <c r="E181" s="43"/>
      <c r="F181" s="43"/>
    </row>
    <row r="182" spans="2:6" ht="12.75">
      <c r="B182"/>
      <c r="C182"/>
      <c r="D182"/>
      <c r="E182"/>
      <c r="F182"/>
    </row>
    <row r="183" spans="2:6" ht="12.75">
      <c r="B183"/>
      <c r="C183"/>
      <c r="D183"/>
      <c r="E183"/>
      <c r="F183"/>
    </row>
    <row r="184" spans="2:6" ht="12.75">
      <c r="B184"/>
      <c r="C184"/>
      <c r="D184"/>
      <c r="E184"/>
      <c r="F184"/>
    </row>
    <row r="185" spans="2:6" ht="12.75">
      <c r="B185"/>
      <c r="C185"/>
      <c r="D185"/>
      <c r="E185"/>
      <c r="F185"/>
    </row>
    <row r="186" spans="2:6" ht="12.75">
      <c r="B186"/>
      <c r="C186"/>
      <c r="D186"/>
      <c r="E186"/>
      <c r="F186"/>
    </row>
    <row r="187" spans="2:6" ht="12.75">
      <c r="B187"/>
      <c r="C187"/>
      <c r="D187"/>
      <c r="E187"/>
      <c r="F187"/>
    </row>
    <row r="188" spans="2:6" ht="12.75">
      <c r="B188"/>
      <c r="C188"/>
      <c r="D188"/>
      <c r="E188"/>
      <c r="F188"/>
    </row>
    <row r="189" spans="2:6" ht="12.75">
      <c r="B189"/>
      <c r="C189"/>
      <c r="D189"/>
      <c r="E189"/>
      <c r="F189"/>
    </row>
    <row r="190" spans="2:6" ht="12.75">
      <c r="B190"/>
      <c r="C190"/>
      <c r="D190"/>
      <c r="E190"/>
      <c r="F190"/>
    </row>
    <row r="191" spans="2:6" ht="12.75">
      <c r="B191"/>
      <c r="C191"/>
      <c r="D191"/>
      <c r="E191"/>
      <c r="F191"/>
    </row>
    <row r="192" spans="2:6" ht="12.75">
      <c r="B192"/>
      <c r="C192"/>
      <c r="D192"/>
      <c r="E192"/>
      <c r="F192"/>
    </row>
    <row r="193" spans="2:6" ht="12.75">
      <c r="B193"/>
      <c r="C193"/>
      <c r="D193"/>
      <c r="E193"/>
      <c r="F193"/>
    </row>
    <row r="194" spans="2:6" ht="12.75">
      <c r="B194"/>
      <c r="C194"/>
      <c r="D194"/>
      <c r="E194"/>
      <c r="F194"/>
    </row>
    <row r="195" spans="2:6" ht="12.75">
      <c r="B195"/>
      <c r="C195"/>
      <c r="D195"/>
      <c r="E195"/>
      <c r="F195"/>
    </row>
    <row r="196" spans="2:6" ht="12.75">
      <c r="B196"/>
      <c r="C196"/>
      <c r="D196"/>
      <c r="E196"/>
      <c r="F196"/>
    </row>
    <row r="197" spans="2:6" ht="12.75">
      <c r="B197"/>
      <c r="C197"/>
      <c r="D197"/>
      <c r="E197"/>
      <c r="F197"/>
    </row>
    <row r="198" spans="2:6" ht="12.75">
      <c r="B198"/>
      <c r="C198"/>
      <c r="D198"/>
      <c r="E198"/>
      <c r="F198"/>
    </row>
    <row r="199" spans="2:6" ht="12.75">
      <c r="B199"/>
      <c r="C199"/>
      <c r="D199"/>
      <c r="E199"/>
      <c r="F199"/>
    </row>
    <row r="200" spans="2:6" ht="12.75">
      <c r="B200"/>
      <c r="C200"/>
      <c r="D200"/>
      <c r="E200"/>
      <c r="F200"/>
    </row>
    <row r="201" spans="2:6" ht="12.75">
      <c r="B201"/>
      <c r="C201"/>
      <c r="D201"/>
      <c r="E201"/>
      <c r="F201"/>
    </row>
    <row r="202" spans="2:6" ht="12.75">
      <c r="B202"/>
      <c r="C202"/>
      <c r="D202"/>
      <c r="E202"/>
      <c r="F202"/>
    </row>
    <row r="203" spans="2:6" ht="12.75">
      <c r="B203"/>
      <c r="C203"/>
      <c r="D203"/>
      <c r="E203"/>
      <c r="F203"/>
    </row>
    <row r="204" spans="2:6" ht="12.75">
      <c r="B204"/>
      <c r="C204"/>
      <c r="D204"/>
      <c r="E204"/>
      <c r="F204"/>
    </row>
    <row r="205" spans="2:6" ht="12.75">
      <c r="B205"/>
      <c r="C205"/>
      <c r="D205"/>
      <c r="E205"/>
      <c r="F205"/>
    </row>
    <row r="206" spans="2:6" ht="12.75">
      <c r="B206"/>
      <c r="C206"/>
      <c r="D206"/>
      <c r="E206"/>
      <c r="F206"/>
    </row>
    <row r="207" spans="2:6" ht="12.75">
      <c r="B207"/>
      <c r="C207"/>
      <c r="D207"/>
      <c r="E207"/>
      <c r="F207"/>
    </row>
    <row r="208" spans="2:6" ht="12.75">
      <c r="B208"/>
      <c r="C208"/>
      <c r="D208"/>
      <c r="E208"/>
      <c r="F208"/>
    </row>
    <row r="209" spans="2:6" ht="12.75">
      <c r="B209"/>
      <c r="C209"/>
      <c r="D209"/>
      <c r="E209"/>
      <c r="F209"/>
    </row>
    <row r="210" spans="2:6" ht="12.75">
      <c r="B210"/>
      <c r="C210"/>
      <c r="D210"/>
      <c r="E210"/>
      <c r="F210"/>
    </row>
    <row r="211" spans="2:6" ht="12.75">
      <c r="B211"/>
      <c r="C211"/>
      <c r="D211"/>
      <c r="E211"/>
      <c r="F211"/>
    </row>
    <row r="212" spans="2:6" ht="12.75">
      <c r="B212"/>
      <c r="C212"/>
      <c r="D212"/>
      <c r="E212"/>
      <c r="F212"/>
    </row>
    <row r="213" spans="2:6" ht="12.75">
      <c r="B213"/>
      <c r="C213"/>
      <c r="D213"/>
      <c r="E213"/>
      <c r="F213"/>
    </row>
    <row r="214" spans="2:6" ht="12.75">
      <c r="B214"/>
      <c r="C214"/>
      <c r="D214"/>
      <c r="E214"/>
      <c r="F214"/>
    </row>
    <row r="215" spans="2:6" ht="12.75">
      <c r="B215"/>
      <c r="C215"/>
      <c r="D215"/>
      <c r="E215"/>
      <c r="F215"/>
    </row>
    <row r="216" spans="2:6" ht="12.75">
      <c r="B216"/>
      <c r="C216"/>
      <c r="D216"/>
      <c r="E216"/>
      <c r="F216"/>
    </row>
    <row r="217" spans="2:6" ht="12.75">
      <c r="B217"/>
      <c r="C217"/>
      <c r="D217"/>
      <c r="E217"/>
      <c r="F217"/>
    </row>
    <row r="218" spans="2:6" ht="12.75">
      <c r="B218"/>
      <c r="C218"/>
      <c r="D218"/>
      <c r="E218"/>
      <c r="F218"/>
    </row>
    <row r="219" spans="2:6" ht="12.75">
      <c r="B219"/>
      <c r="C219"/>
      <c r="D219"/>
      <c r="E219"/>
      <c r="F219"/>
    </row>
    <row r="220" spans="2:6" ht="12.75">
      <c r="B220"/>
      <c r="C220"/>
      <c r="D220"/>
      <c r="E220"/>
      <c r="F220"/>
    </row>
    <row r="221" spans="2:6" ht="12.75">
      <c r="B221"/>
      <c r="C221"/>
      <c r="D221"/>
      <c r="E221"/>
      <c r="F221"/>
    </row>
    <row r="222" spans="2:6" ht="12.75">
      <c r="B222"/>
      <c r="C222"/>
      <c r="D222"/>
      <c r="E222"/>
      <c r="F222"/>
    </row>
    <row r="223" spans="2:6" ht="12.75">
      <c r="B223"/>
      <c r="C223"/>
      <c r="D223"/>
      <c r="E223"/>
      <c r="F223"/>
    </row>
    <row r="224" spans="2:6" ht="12.75">
      <c r="B224"/>
      <c r="C224"/>
      <c r="D224"/>
      <c r="E224"/>
      <c r="F224"/>
    </row>
    <row r="225" spans="2:6" ht="12.75">
      <c r="B225"/>
      <c r="C225"/>
      <c r="D225"/>
      <c r="E225"/>
      <c r="F225"/>
    </row>
    <row r="226" spans="2:6" ht="12.75">
      <c r="B226"/>
      <c r="C226"/>
      <c r="D226"/>
      <c r="E226"/>
      <c r="F226"/>
    </row>
    <row r="227" spans="2:6" ht="12.75">
      <c r="B227"/>
      <c r="C227"/>
      <c r="D227"/>
      <c r="E227"/>
      <c r="F227"/>
    </row>
    <row r="228" spans="2:6" ht="12.75">
      <c r="B228"/>
      <c r="C228"/>
      <c r="D228"/>
      <c r="E228"/>
      <c r="F228"/>
    </row>
    <row r="229" spans="2:6" ht="12.75">
      <c r="B229"/>
      <c r="C229"/>
      <c r="D229"/>
      <c r="E229"/>
      <c r="F229"/>
    </row>
    <row r="230" spans="2:6" ht="12.75">
      <c r="B230"/>
      <c r="C230"/>
      <c r="D230"/>
      <c r="E230"/>
      <c r="F230"/>
    </row>
    <row r="231" spans="2:6" ht="12.75">
      <c r="B231"/>
      <c r="C231"/>
      <c r="D231"/>
      <c r="E231"/>
      <c r="F231"/>
    </row>
    <row r="232" spans="2:6" ht="12.75">
      <c r="B232"/>
      <c r="C232"/>
      <c r="D232"/>
      <c r="E232"/>
      <c r="F232"/>
    </row>
    <row r="233" spans="2:6" ht="12.75">
      <c r="B233"/>
      <c r="C233"/>
      <c r="D233"/>
      <c r="E233"/>
      <c r="F233"/>
    </row>
    <row r="234" spans="2:6" ht="12.75">
      <c r="B234"/>
      <c r="C234"/>
      <c r="D234"/>
      <c r="E234"/>
      <c r="F234"/>
    </row>
    <row r="235" spans="2:6" ht="12.75">
      <c r="B235"/>
      <c r="C235"/>
      <c r="D235"/>
      <c r="E235"/>
      <c r="F235"/>
    </row>
    <row r="236" spans="2:6" ht="12.75">
      <c r="B236"/>
      <c r="C236"/>
      <c r="D236"/>
      <c r="E236"/>
      <c r="F236"/>
    </row>
    <row r="237" spans="2:6" ht="12.75">
      <c r="B237"/>
      <c r="C237"/>
      <c r="D237"/>
      <c r="E237"/>
      <c r="F237"/>
    </row>
    <row r="238" spans="2:6" ht="12.75">
      <c r="B238"/>
      <c r="C238"/>
      <c r="D238"/>
      <c r="E238"/>
      <c r="F238"/>
    </row>
    <row r="239" spans="2:6" ht="12.75">
      <c r="B239"/>
      <c r="C239"/>
      <c r="D239"/>
      <c r="E239"/>
      <c r="F239"/>
    </row>
    <row r="240" spans="2:6" ht="12.75">
      <c r="B240"/>
      <c r="C240"/>
      <c r="D240"/>
      <c r="E240"/>
      <c r="F240"/>
    </row>
    <row r="241" spans="2:6" ht="12.75">
      <c r="B241"/>
      <c r="C241"/>
      <c r="D241"/>
      <c r="E241"/>
      <c r="F241"/>
    </row>
    <row r="242" spans="2:6" ht="12.75">
      <c r="B242"/>
      <c r="C242"/>
      <c r="D242"/>
      <c r="E242"/>
      <c r="F242"/>
    </row>
    <row r="243" spans="2:6" ht="12.75">
      <c r="B243"/>
      <c r="C243"/>
      <c r="D243"/>
      <c r="E243"/>
      <c r="F243"/>
    </row>
    <row r="244" spans="2:6" ht="12.75">
      <c r="B244"/>
      <c r="C244"/>
      <c r="D244"/>
      <c r="E244"/>
      <c r="F244"/>
    </row>
    <row r="245" spans="2:6" ht="12.75">
      <c r="B245"/>
      <c r="C245"/>
      <c r="D245"/>
      <c r="E245"/>
      <c r="F245"/>
    </row>
    <row r="246" spans="2:6" ht="12.75">
      <c r="B246"/>
      <c r="C246"/>
      <c r="D246"/>
      <c r="E246"/>
      <c r="F246"/>
    </row>
    <row r="247" spans="2:6" ht="12.75">
      <c r="B247"/>
      <c r="C247"/>
      <c r="D247"/>
      <c r="E247"/>
      <c r="F247"/>
    </row>
    <row r="248" spans="2:6" ht="12.75">
      <c r="B248"/>
      <c r="C248"/>
      <c r="D248"/>
      <c r="E248"/>
      <c r="F248"/>
    </row>
    <row r="249" spans="2:6" ht="12.75">
      <c r="B249"/>
      <c r="C249"/>
      <c r="D249"/>
      <c r="E249"/>
      <c r="F249"/>
    </row>
    <row r="250" spans="2:6" ht="12.75">
      <c r="B250"/>
      <c r="C250"/>
      <c r="D250"/>
      <c r="E250"/>
      <c r="F250"/>
    </row>
    <row r="251" spans="2:6" ht="12.75">
      <c r="B251"/>
      <c r="C251"/>
      <c r="D251"/>
      <c r="E251"/>
      <c r="F251"/>
    </row>
    <row r="252" spans="2:6" ht="12.75">
      <c r="B252"/>
      <c r="C252"/>
      <c r="D252"/>
      <c r="E252"/>
      <c r="F252"/>
    </row>
    <row r="253" spans="2:6" ht="12.75">
      <c r="B253"/>
      <c r="C253"/>
      <c r="D253"/>
      <c r="E253"/>
      <c r="F253"/>
    </row>
    <row r="254" spans="2:6" ht="12.75">
      <c r="B254"/>
      <c r="C254"/>
      <c r="D254"/>
      <c r="E254"/>
      <c r="F254"/>
    </row>
    <row r="255" spans="2:6" ht="12.75">
      <c r="B255"/>
      <c r="C255"/>
      <c r="D255"/>
      <c r="E255"/>
      <c r="F255"/>
    </row>
    <row r="256" spans="2:6" ht="12.75">
      <c r="B256"/>
      <c r="C256"/>
      <c r="D256"/>
      <c r="E256"/>
      <c r="F256"/>
    </row>
    <row r="257" spans="2:6" ht="12.75">
      <c r="B257"/>
      <c r="C257"/>
      <c r="D257"/>
      <c r="E257"/>
      <c r="F257"/>
    </row>
    <row r="258" spans="2:6" ht="12.75">
      <c r="B258"/>
      <c r="C258"/>
      <c r="D258"/>
      <c r="E258"/>
      <c r="F258"/>
    </row>
    <row r="259" spans="2:6" ht="12.75">
      <c r="B259"/>
      <c r="C259"/>
      <c r="D259"/>
      <c r="E259"/>
      <c r="F259"/>
    </row>
    <row r="260" spans="2:6" ht="12.75">
      <c r="B260"/>
      <c r="C260"/>
      <c r="D260"/>
      <c r="E260"/>
      <c r="F260"/>
    </row>
    <row r="261" spans="2:6" ht="12.75">
      <c r="B261"/>
      <c r="C261"/>
      <c r="D261"/>
      <c r="E261"/>
      <c r="F261"/>
    </row>
    <row r="262" spans="2:6" ht="12.75">
      <c r="B262"/>
      <c r="C262"/>
      <c r="D262"/>
      <c r="E262"/>
      <c r="F262"/>
    </row>
    <row r="263" spans="2:6" ht="12.75">
      <c r="B263"/>
      <c r="C263"/>
      <c r="D263"/>
      <c r="E263"/>
      <c r="F263"/>
    </row>
    <row r="264" spans="2:6" ht="12.75">
      <c r="B264"/>
      <c r="C264"/>
      <c r="D264"/>
      <c r="E264"/>
      <c r="F264"/>
    </row>
    <row r="265" spans="2:6" ht="12.75">
      <c r="B265"/>
      <c r="C265"/>
      <c r="D265"/>
      <c r="E265"/>
      <c r="F265"/>
    </row>
    <row r="266" spans="2:6" ht="12.75">
      <c r="B266"/>
      <c r="C266"/>
      <c r="D266"/>
      <c r="E266"/>
      <c r="F266"/>
    </row>
    <row r="267" spans="2:6" ht="12.75">
      <c r="B267"/>
      <c r="C267"/>
      <c r="D267"/>
      <c r="E267"/>
      <c r="F267"/>
    </row>
    <row r="268" spans="2:6" ht="12.75">
      <c r="B268"/>
      <c r="C268"/>
      <c r="D268"/>
      <c r="E268"/>
      <c r="F268"/>
    </row>
    <row r="269" spans="2:6" ht="12.75">
      <c r="B269"/>
      <c r="C269"/>
      <c r="D269"/>
      <c r="E269"/>
      <c r="F269"/>
    </row>
    <row r="270" spans="2:6" ht="12.75">
      <c r="B270"/>
      <c r="C270"/>
      <c r="D270"/>
      <c r="E270"/>
      <c r="F270"/>
    </row>
    <row r="271" spans="2:6" ht="12.75">
      <c r="B271"/>
      <c r="C271"/>
      <c r="D271"/>
      <c r="E271"/>
      <c r="F271"/>
    </row>
    <row r="272" spans="2:6" ht="12.75">
      <c r="B272"/>
      <c r="C272"/>
      <c r="D272"/>
      <c r="E272"/>
      <c r="F272"/>
    </row>
    <row r="273" spans="2:6" ht="12.75">
      <c r="B273"/>
      <c r="C273"/>
      <c r="D273"/>
      <c r="E273"/>
      <c r="F273"/>
    </row>
    <row r="274" spans="2:6" ht="12.75">
      <c r="B274"/>
      <c r="C274"/>
      <c r="D274"/>
      <c r="E274"/>
      <c r="F274"/>
    </row>
    <row r="275" spans="2:6" ht="12.75">
      <c r="B275"/>
      <c r="C275"/>
      <c r="D275"/>
      <c r="E275"/>
      <c r="F275"/>
    </row>
    <row r="276" spans="2:6" ht="12.75">
      <c r="B276"/>
      <c r="C276"/>
      <c r="D276"/>
      <c r="E276"/>
      <c r="F276"/>
    </row>
    <row r="277" spans="2:6" ht="12.75">
      <c r="B277"/>
      <c r="C277"/>
      <c r="D277"/>
      <c r="E277"/>
      <c r="F277"/>
    </row>
    <row r="278" spans="2:6" ht="12.75">
      <c r="B278"/>
      <c r="C278"/>
      <c r="D278"/>
      <c r="E278"/>
      <c r="F278"/>
    </row>
    <row r="279" spans="2:6" ht="12.75">
      <c r="B279"/>
      <c r="C279"/>
      <c r="D279"/>
      <c r="E279"/>
      <c r="F279"/>
    </row>
    <row r="280" spans="2:6" ht="12.75">
      <c r="B280"/>
      <c r="C280"/>
      <c r="D280"/>
      <c r="E280"/>
      <c r="F280"/>
    </row>
    <row r="281" spans="2:6" ht="12.75">
      <c r="B281"/>
      <c r="C281"/>
      <c r="D281"/>
      <c r="E281"/>
      <c r="F281"/>
    </row>
    <row r="282" spans="2:6" ht="12.75">
      <c r="B282"/>
      <c r="C282"/>
      <c r="D282"/>
      <c r="E282"/>
      <c r="F282"/>
    </row>
    <row r="283" spans="2:6" ht="12.75">
      <c r="B283"/>
      <c r="C283"/>
      <c r="D283"/>
      <c r="E283"/>
      <c r="F283"/>
    </row>
    <row r="284" spans="2:6" ht="12.75">
      <c r="B284"/>
      <c r="C284"/>
      <c r="D284"/>
      <c r="E284"/>
      <c r="F284"/>
    </row>
    <row r="285" spans="2:6" ht="12.75">
      <c r="B285"/>
      <c r="C285"/>
      <c r="D285"/>
      <c r="E285"/>
      <c r="F285"/>
    </row>
    <row r="286" spans="2:6" ht="12.75">
      <c r="B286"/>
      <c r="C286"/>
      <c r="D286"/>
      <c r="E286"/>
      <c r="F286"/>
    </row>
    <row r="287" spans="2:6" ht="12.75">
      <c r="B287"/>
      <c r="C287"/>
      <c r="D287"/>
      <c r="E287"/>
      <c r="F287"/>
    </row>
    <row r="288" spans="2:6" ht="12.75">
      <c r="B288"/>
      <c r="C288"/>
      <c r="D288"/>
      <c r="E288"/>
      <c r="F288"/>
    </row>
    <row r="289" spans="2:6" ht="12.75">
      <c r="B289"/>
      <c r="C289"/>
      <c r="D289"/>
      <c r="E289"/>
      <c r="F289"/>
    </row>
    <row r="290" spans="2:6" ht="12.75">
      <c r="B290"/>
      <c r="C290"/>
      <c r="D290"/>
      <c r="E290"/>
      <c r="F290"/>
    </row>
    <row r="291" spans="2:6" ht="12.75">
      <c r="B291"/>
      <c r="C291"/>
      <c r="D291"/>
      <c r="E291"/>
      <c r="F291"/>
    </row>
    <row r="292" spans="2:6" ht="12.75">
      <c r="B292"/>
      <c r="C292"/>
      <c r="D292"/>
      <c r="E292"/>
      <c r="F292"/>
    </row>
    <row r="293" spans="2:6" ht="12.75">
      <c r="B293"/>
      <c r="C293"/>
      <c r="D293"/>
      <c r="E293"/>
      <c r="F293"/>
    </row>
    <row r="294" spans="2:6" ht="12.75">
      <c r="B294"/>
      <c r="C294"/>
      <c r="D294"/>
      <c r="E294"/>
      <c r="F294"/>
    </row>
    <row r="295" spans="2:6" ht="12.75">
      <c r="B295"/>
      <c r="C295"/>
      <c r="D295"/>
      <c r="E295"/>
      <c r="F295"/>
    </row>
    <row r="296" spans="2:6" ht="12.75">
      <c r="B296"/>
      <c r="C296"/>
      <c r="D296"/>
      <c r="E296"/>
      <c r="F296"/>
    </row>
    <row r="297" spans="2:6" ht="12.75">
      <c r="B297"/>
      <c r="C297"/>
      <c r="D297"/>
      <c r="E297"/>
      <c r="F297"/>
    </row>
    <row r="298" spans="2:6" ht="12.75">
      <c r="B298"/>
      <c r="C298"/>
      <c r="D298"/>
      <c r="E298"/>
      <c r="F298"/>
    </row>
    <row r="299" spans="2:6" ht="12.75">
      <c r="B299"/>
      <c r="C299"/>
      <c r="D299"/>
      <c r="E299"/>
      <c r="F299"/>
    </row>
    <row r="300" spans="2:6" ht="12.75">
      <c r="B300"/>
      <c r="C300"/>
      <c r="D300"/>
      <c r="E300"/>
      <c r="F300"/>
    </row>
    <row r="301" spans="2:6" ht="12.75">
      <c r="B301"/>
      <c r="C301"/>
      <c r="D301"/>
      <c r="E301"/>
      <c r="F301"/>
    </row>
    <row r="302" spans="2:6" ht="12.75">
      <c r="B302"/>
      <c r="C302"/>
      <c r="D302"/>
      <c r="E302"/>
      <c r="F302"/>
    </row>
    <row r="303" spans="2:6" ht="12.75">
      <c r="B303"/>
      <c r="C303"/>
      <c r="D303"/>
      <c r="E303"/>
      <c r="F303"/>
    </row>
    <row r="304" spans="2:6" ht="12.75">
      <c r="B304"/>
      <c r="C304"/>
      <c r="D304"/>
      <c r="E304"/>
      <c r="F304"/>
    </row>
    <row r="305" spans="2:6" ht="12.75">
      <c r="B305"/>
      <c r="C305"/>
      <c r="D305"/>
      <c r="E305"/>
      <c r="F305"/>
    </row>
    <row r="306" spans="2:6" ht="12.75">
      <c r="B306"/>
      <c r="C306"/>
      <c r="D306"/>
      <c r="E306"/>
      <c r="F306"/>
    </row>
    <row r="307" spans="2:6" ht="12.75">
      <c r="B307"/>
      <c r="C307"/>
      <c r="D307"/>
      <c r="E307"/>
      <c r="F307"/>
    </row>
    <row r="308" spans="2:6" ht="12.75">
      <c r="B308"/>
      <c r="C308"/>
      <c r="D308"/>
      <c r="E308"/>
      <c r="F308"/>
    </row>
    <row r="309" spans="2:6" ht="12.75">
      <c r="B309"/>
      <c r="C309"/>
      <c r="D309"/>
      <c r="E309"/>
      <c r="F309"/>
    </row>
    <row r="310" spans="2:6" ht="12.75">
      <c r="B310"/>
      <c r="C310"/>
      <c r="D310"/>
      <c r="E310"/>
      <c r="F310"/>
    </row>
    <row r="311" spans="2:6" ht="12.75">
      <c r="B311"/>
      <c r="C311"/>
      <c r="D311"/>
      <c r="E311"/>
      <c r="F311"/>
    </row>
    <row r="312" spans="2:6" ht="12.75">
      <c r="B312"/>
      <c r="C312"/>
      <c r="D312"/>
      <c r="E312"/>
      <c r="F312"/>
    </row>
    <row r="313" spans="2:6" ht="12.75">
      <c r="B313"/>
      <c r="C313"/>
      <c r="D313"/>
      <c r="E313"/>
      <c r="F313"/>
    </row>
    <row r="314" spans="2:6" ht="12.75">
      <c r="B314"/>
      <c r="C314"/>
      <c r="D314"/>
      <c r="E314"/>
      <c r="F314"/>
    </row>
    <row r="315" spans="2:6" ht="12.75">
      <c r="B315"/>
      <c r="C315"/>
      <c r="D315"/>
      <c r="E315"/>
      <c r="F315"/>
    </row>
    <row r="316" spans="2:6" ht="12.75">
      <c r="B316"/>
      <c r="C316"/>
      <c r="D316"/>
      <c r="E316"/>
      <c r="F316"/>
    </row>
    <row r="317" spans="2:6" ht="12.75">
      <c r="B317"/>
      <c r="C317"/>
      <c r="D317"/>
      <c r="E317"/>
      <c r="F317"/>
    </row>
    <row r="318" spans="2:6" ht="12.75">
      <c r="B318"/>
      <c r="C318"/>
      <c r="D318"/>
      <c r="E318"/>
      <c r="F318"/>
    </row>
    <row r="319" spans="2:6" ht="12.75">
      <c r="B319"/>
      <c r="C319"/>
      <c r="D319"/>
      <c r="E319"/>
      <c r="F319"/>
    </row>
    <row r="320" spans="2:6" ht="12.75">
      <c r="B320"/>
      <c r="C320"/>
      <c r="D320"/>
      <c r="E320"/>
      <c r="F320"/>
    </row>
    <row r="321" spans="2:6" ht="12.75">
      <c r="B321"/>
      <c r="C321"/>
      <c r="D321"/>
      <c r="E321"/>
      <c r="F321"/>
    </row>
    <row r="322" spans="2:6" ht="12.75">
      <c r="B322"/>
      <c r="C322"/>
      <c r="D322"/>
      <c r="E322"/>
      <c r="F322"/>
    </row>
    <row r="323" spans="2:6" ht="12.75">
      <c r="B323"/>
      <c r="C323"/>
      <c r="D323"/>
      <c r="E323"/>
      <c r="F323"/>
    </row>
    <row r="324" spans="2:6" ht="12.75">
      <c r="B324"/>
      <c r="C324"/>
      <c r="D324"/>
      <c r="E324"/>
      <c r="F324"/>
    </row>
    <row r="325" spans="2:6" ht="12.75">
      <c r="B325"/>
      <c r="C325"/>
      <c r="D325"/>
      <c r="E325"/>
      <c r="F325"/>
    </row>
    <row r="326" spans="2:6" ht="12.75">
      <c r="B326"/>
      <c r="C326"/>
      <c r="D326"/>
      <c r="E326"/>
      <c r="F326"/>
    </row>
    <row r="327" spans="2:6" ht="12.75">
      <c r="B327"/>
      <c r="C327"/>
      <c r="D327"/>
      <c r="E327"/>
      <c r="F327"/>
    </row>
    <row r="328" spans="2:6" ht="12.75">
      <c r="B328"/>
      <c r="C328"/>
      <c r="D328"/>
      <c r="E328"/>
      <c r="F328"/>
    </row>
    <row r="329" spans="2:6" ht="12.75">
      <c r="B329"/>
      <c r="C329"/>
      <c r="D329"/>
      <c r="E329"/>
      <c r="F329"/>
    </row>
    <row r="330" spans="2:6" ht="12.75">
      <c r="B330"/>
      <c r="C330"/>
      <c r="D330"/>
      <c r="E330"/>
      <c r="F330"/>
    </row>
    <row r="331" spans="2:6" ht="12.75">
      <c r="B331"/>
      <c r="C331"/>
      <c r="D331"/>
      <c r="E331"/>
      <c r="F331"/>
    </row>
    <row r="332" spans="2:6" ht="12.75">
      <c r="B332"/>
      <c r="C332"/>
      <c r="D332"/>
      <c r="E332"/>
      <c r="F332"/>
    </row>
    <row r="333" spans="2:6" ht="12.75">
      <c r="B333"/>
      <c r="C333"/>
      <c r="D333"/>
      <c r="E333"/>
      <c r="F333"/>
    </row>
    <row r="334" spans="2:6" ht="12.75">
      <c r="B334"/>
      <c r="C334"/>
      <c r="D334"/>
      <c r="E334"/>
      <c r="F334"/>
    </row>
    <row r="335" spans="2:6" ht="12.75">
      <c r="B335"/>
      <c r="C335"/>
      <c r="D335"/>
      <c r="E335"/>
      <c r="F335"/>
    </row>
    <row r="336" spans="2:6" ht="12.75">
      <c r="B336"/>
      <c r="C336"/>
      <c r="D336"/>
      <c r="E336"/>
      <c r="F336"/>
    </row>
    <row r="337" spans="2:6" ht="12.75">
      <c r="B337"/>
      <c r="C337"/>
      <c r="D337"/>
      <c r="E337"/>
      <c r="F337"/>
    </row>
    <row r="338" spans="2:6" ht="12.75">
      <c r="B338"/>
      <c r="C338"/>
      <c r="D338"/>
      <c r="E338"/>
      <c r="F338"/>
    </row>
    <row r="339" spans="2:6" ht="12.75">
      <c r="B339"/>
      <c r="C339"/>
      <c r="D339"/>
      <c r="E339"/>
      <c r="F339"/>
    </row>
    <row r="340" spans="2:6" ht="12.75">
      <c r="B340"/>
      <c r="C340"/>
      <c r="D340"/>
      <c r="E340"/>
      <c r="F340"/>
    </row>
    <row r="341" spans="2:6" ht="12.75">
      <c r="B341"/>
      <c r="C341"/>
      <c r="D341"/>
      <c r="E341"/>
      <c r="F341"/>
    </row>
    <row r="342" spans="2:6" ht="12.75">
      <c r="B342"/>
      <c r="C342"/>
      <c r="D342"/>
      <c r="E342"/>
      <c r="F342"/>
    </row>
    <row r="343" spans="2:6" ht="12.75">
      <c r="B343"/>
      <c r="C343"/>
      <c r="D343"/>
      <c r="E343"/>
      <c r="F343"/>
    </row>
    <row r="344" spans="2:6" ht="12.75">
      <c r="B344"/>
      <c r="C344"/>
      <c r="D344"/>
      <c r="E344"/>
      <c r="F344"/>
    </row>
    <row r="345" spans="2:6" ht="12.75">
      <c r="B345"/>
      <c r="C345"/>
      <c r="D345"/>
      <c r="E345"/>
      <c r="F345"/>
    </row>
    <row r="346" spans="2:6" ht="12.75">
      <c r="B346"/>
      <c r="C346"/>
      <c r="D346"/>
      <c r="E346"/>
      <c r="F346"/>
    </row>
    <row r="347" spans="2:6" ht="12.75">
      <c r="B347"/>
      <c r="C347"/>
      <c r="D347"/>
      <c r="E347"/>
      <c r="F347"/>
    </row>
    <row r="348" spans="2:6" ht="12.75">
      <c r="B348"/>
      <c r="C348"/>
      <c r="D348"/>
      <c r="E348"/>
      <c r="F348"/>
    </row>
    <row r="349" spans="2:6" ht="12.75">
      <c r="B349"/>
      <c r="C349"/>
      <c r="D349"/>
      <c r="E349"/>
      <c r="F349"/>
    </row>
    <row r="350" spans="2:6" ht="12.75">
      <c r="B350"/>
      <c r="C350"/>
      <c r="D350"/>
      <c r="E350"/>
      <c r="F350"/>
    </row>
    <row r="351" spans="2:6" ht="12.75">
      <c r="B351"/>
      <c r="C351"/>
      <c r="D351"/>
      <c r="E351"/>
      <c r="F351"/>
    </row>
    <row r="352" spans="2:6" ht="12.75">
      <c r="B352"/>
      <c r="C352"/>
      <c r="D352"/>
      <c r="E352"/>
      <c r="F352"/>
    </row>
    <row r="353" spans="2:6" ht="12.75">
      <c r="B353"/>
      <c r="C353"/>
      <c r="D353"/>
      <c r="E353"/>
      <c r="F353"/>
    </row>
    <row r="354" spans="2:6" ht="12.75">
      <c r="B354"/>
      <c r="C354"/>
      <c r="D354"/>
      <c r="E354"/>
      <c r="F354"/>
    </row>
    <row r="355" spans="2:6" ht="12.75">
      <c r="B355"/>
      <c r="C355"/>
      <c r="D355"/>
      <c r="E355"/>
      <c r="F355"/>
    </row>
    <row r="356" spans="2:6" ht="12.75">
      <c r="B356"/>
      <c r="C356"/>
      <c r="D356"/>
      <c r="E356"/>
      <c r="F356"/>
    </row>
    <row r="357" spans="2:6" ht="12.75">
      <c r="B357"/>
      <c r="C357"/>
      <c r="D357"/>
      <c r="E357"/>
      <c r="F357"/>
    </row>
    <row r="358" spans="2:6" ht="12.75">
      <c r="B358"/>
      <c r="C358"/>
      <c r="D358"/>
      <c r="E358"/>
      <c r="F358"/>
    </row>
    <row r="359" spans="2:6" ht="12.75">
      <c r="B359"/>
      <c r="C359"/>
      <c r="D359"/>
      <c r="E359"/>
      <c r="F359"/>
    </row>
    <row r="360" spans="2:6" ht="12.75">
      <c r="B360"/>
      <c r="C360"/>
      <c r="D360"/>
      <c r="E360"/>
      <c r="F360"/>
    </row>
    <row r="361" spans="2:6" ht="12.75">
      <c r="B361"/>
      <c r="C361"/>
      <c r="D361"/>
      <c r="E361"/>
      <c r="F361"/>
    </row>
    <row r="362" spans="2:6" ht="12.75">
      <c r="B362"/>
      <c r="C362"/>
      <c r="D362"/>
      <c r="E362"/>
      <c r="F362"/>
    </row>
    <row r="363" spans="2:6" ht="12.75">
      <c r="B363"/>
      <c r="C363"/>
      <c r="D363"/>
      <c r="E363"/>
      <c r="F363"/>
    </row>
    <row r="364" spans="2:6" ht="12.75">
      <c r="B364"/>
      <c r="C364"/>
      <c r="D364"/>
      <c r="E364"/>
      <c r="F364"/>
    </row>
    <row r="365" spans="2:6" ht="12.75">
      <c r="B365"/>
      <c r="C365"/>
      <c r="D365"/>
      <c r="E365"/>
      <c r="F365"/>
    </row>
    <row r="366" spans="2:6" ht="12.75">
      <c r="B366"/>
      <c r="C366"/>
      <c r="D366"/>
      <c r="E366"/>
      <c r="F366"/>
    </row>
    <row r="367" spans="2:6" ht="12.75">
      <c r="B367"/>
      <c r="C367"/>
      <c r="D367"/>
      <c r="E367"/>
      <c r="F367"/>
    </row>
    <row r="368" spans="2:6" ht="12.75">
      <c r="B368"/>
      <c r="C368"/>
      <c r="D368"/>
      <c r="E368"/>
      <c r="F368"/>
    </row>
    <row r="369" spans="2:6" ht="12.75">
      <c r="B369"/>
      <c r="C369"/>
      <c r="D369"/>
      <c r="E369"/>
      <c r="F369"/>
    </row>
    <row r="370" spans="2:6" ht="12.75">
      <c r="B370"/>
      <c r="C370"/>
      <c r="D370"/>
      <c r="E370"/>
      <c r="F370"/>
    </row>
    <row r="371" spans="2:6" ht="12.75">
      <c r="B371"/>
      <c r="C371"/>
      <c r="D371"/>
      <c r="E371"/>
      <c r="F371"/>
    </row>
    <row r="372" spans="2:6" ht="12.75">
      <c r="B372"/>
      <c r="C372"/>
      <c r="D372"/>
      <c r="E372"/>
      <c r="F372"/>
    </row>
    <row r="373" spans="2:6" ht="12.75">
      <c r="B373"/>
      <c r="C373"/>
      <c r="D373"/>
      <c r="E373"/>
      <c r="F373"/>
    </row>
    <row r="374" spans="2:6" ht="12.75">
      <c r="B374"/>
      <c r="C374"/>
      <c r="D374"/>
      <c r="E374"/>
      <c r="F374"/>
    </row>
    <row r="375" spans="2:6" ht="12.75">
      <c r="B375"/>
      <c r="C375"/>
      <c r="D375"/>
      <c r="E375"/>
      <c r="F375"/>
    </row>
    <row r="376" spans="2:6" ht="12.75">
      <c r="B376"/>
      <c r="C376"/>
      <c r="D376"/>
      <c r="E376"/>
      <c r="F376"/>
    </row>
    <row r="377" spans="2:6" ht="12.75">
      <c r="B377"/>
      <c r="C377"/>
      <c r="D377"/>
      <c r="E377"/>
      <c r="F377"/>
    </row>
    <row r="378" spans="2:6" ht="12.75">
      <c r="B378"/>
      <c r="C378"/>
      <c r="D378"/>
      <c r="E378"/>
      <c r="F378"/>
    </row>
    <row r="379" spans="2:6" ht="12.75">
      <c r="B379"/>
      <c r="C379"/>
      <c r="D379"/>
      <c r="E379"/>
      <c r="F379"/>
    </row>
    <row r="380" spans="2:6" ht="12.75">
      <c r="B380"/>
      <c r="C380"/>
      <c r="D380"/>
      <c r="E380"/>
      <c r="F380"/>
    </row>
    <row r="381" spans="2:6" ht="12.75">
      <c r="B381"/>
      <c r="C381"/>
      <c r="D381"/>
      <c r="E381"/>
      <c r="F381"/>
    </row>
    <row r="382" spans="2:6" ht="12.75">
      <c r="B382"/>
      <c r="C382"/>
      <c r="D382"/>
      <c r="E382"/>
      <c r="F382"/>
    </row>
    <row r="383" spans="2:6" ht="12.75">
      <c r="B383"/>
      <c r="C383"/>
      <c r="D383"/>
      <c r="E383"/>
      <c r="F383"/>
    </row>
  </sheetData>
  <sheetProtection/>
  <mergeCells count="8">
    <mergeCell ref="A100:F100"/>
    <mergeCell ref="A101:F101"/>
    <mergeCell ref="A150:F150"/>
    <mergeCell ref="A151:F151"/>
    <mergeCell ref="A1:F1"/>
    <mergeCell ref="A2:F2"/>
    <mergeCell ref="A50:F50"/>
    <mergeCell ref="A51:F51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B4" sqref="B1:B4"/>
    </sheetView>
  </sheetViews>
  <sheetFormatPr defaultColWidth="9.140625" defaultRowHeight="12.75"/>
  <cols>
    <col min="1" max="1" width="13.57421875" style="0" customWidth="1"/>
    <col min="2" max="2" width="17.57421875" style="0" customWidth="1"/>
  </cols>
  <sheetData>
    <row r="1" spans="1:5" ht="12.75">
      <c r="A1" s="22">
        <v>62000</v>
      </c>
      <c r="B1" s="22">
        <v>153691.82</v>
      </c>
      <c r="C1" s="3">
        <f aca="true" t="shared" si="0" ref="C1:C94">B1/A1</f>
        <v>2.478900322580645</v>
      </c>
      <c r="D1" s="32" t="s">
        <v>101</v>
      </c>
      <c r="E1" s="32" t="s">
        <v>100</v>
      </c>
    </row>
    <row r="2" spans="1:5" ht="12.75">
      <c r="A2" s="13">
        <f>501740+8000</f>
        <v>509740</v>
      </c>
      <c r="B2" s="13">
        <f>612951.32+8000</f>
        <v>620951.32</v>
      </c>
      <c r="C2" s="3">
        <f>B2/A2</f>
        <v>1.218172637030643</v>
      </c>
      <c r="D2" s="32" t="s">
        <v>101</v>
      </c>
      <c r="E2" s="32" t="s">
        <v>100</v>
      </c>
    </row>
    <row r="3" spans="1:5" ht="12.75">
      <c r="A3" s="13">
        <v>16464.76</v>
      </c>
      <c r="B3" s="13">
        <v>16464.76</v>
      </c>
      <c r="C3" s="3">
        <f t="shared" si="0"/>
        <v>1</v>
      </c>
      <c r="D3" s="32" t="s">
        <v>101</v>
      </c>
      <c r="E3" s="32" t="s">
        <v>100</v>
      </c>
    </row>
    <row r="4" spans="1:5" ht="12.75">
      <c r="A4" s="13">
        <f>2280+2665</f>
        <v>4945</v>
      </c>
      <c r="B4" s="12">
        <f>2280+2665</f>
        <v>4945</v>
      </c>
      <c r="C4" s="3">
        <f t="shared" si="0"/>
        <v>1</v>
      </c>
      <c r="D4" s="32" t="s">
        <v>101</v>
      </c>
      <c r="E4" s="32" t="s">
        <v>100</v>
      </c>
    </row>
    <row r="5" spans="1:5" ht="12.75">
      <c r="A5" s="22">
        <v>37400</v>
      </c>
      <c r="B5" s="22">
        <v>41768.64</v>
      </c>
      <c r="C5" s="3">
        <f t="shared" si="0"/>
        <v>1.1168085561497325</v>
      </c>
      <c r="D5" s="32" t="s">
        <v>101</v>
      </c>
      <c r="E5" s="32" t="s">
        <v>102</v>
      </c>
    </row>
    <row r="6" spans="1:5" ht="12.75">
      <c r="A6" s="22">
        <v>192340</v>
      </c>
      <c r="B6" s="22">
        <v>207991.98</v>
      </c>
      <c r="C6" s="3">
        <f t="shared" si="0"/>
        <v>1.081376624727046</v>
      </c>
      <c r="D6" s="32" t="s">
        <v>101</v>
      </c>
      <c r="E6" s="32" t="s">
        <v>102</v>
      </c>
    </row>
    <row r="7" spans="1:5" ht="12.75">
      <c r="A7" s="22">
        <v>10322.65</v>
      </c>
      <c r="B7" s="13">
        <v>10167.81</v>
      </c>
      <c r="C7" s="3">
        <f t="shared" si="0"/>
        <v>0.9849999757814127</v>
      </c>
      <c r="D7" s="32" t="s">
        <v>101</v>
      </c>
      <c r="E7" s="32" t="s">
        <v>102</v>
      </c>
    </row>
    <row r="8" spans="1:5" ht="12.75">
      <c r="A8" s="13">
        <f>14922+18970.92</f>
        <v>33892.92</v>
      </c>
      <c r="B8" s="13">
        <f>14922+18970.92</f>
        <v>33892.92</v>
      </c>
      <c r="C8" s="3">
        <f t="shared" si="0"/>
        <v>1</v>
      </c>
      <c r="D8" s="32" t="s">
        <v>101</v>
      </c>
      <c r="E8" s="32" t="s">
        <v>102</v>
      </c>
    </row>
    <row r="9" spans="1:5" ht="12.75">
      <c r="A9" s="16">
        <f>53000+9006+36941.75+42345+23900</f>
        <v>165192.75</v>
      </c>
      <c r="B9" s="16">
        <f>53000+9006+36941.75+55850+62050</f>
        <v>216847.75</v>
      </c>
      <c r="C9" s="3">
        <f t="shared" si="0"/>
        <v>1.3126953210718992</v>
      </c>
      <c r="D9" s="32" t="s">
        <v>101</v>
      </c>
      <c r="E9" s="32" t="s">
        <v>102</v>
      </c>
    </row>
    <row r="10" spans="1:5" ht="12.75">
      <c r="A10" s="13">
        <v>16094</v>
      </c>
      <c r="B10" s="13">
        <v>16094</v>
      </c>
      <c r="C10" s="3">
        <f t="shared" si="0"/>
        <v>1</v>
      </c>
      <c r="D10" s="32" t="s">
        <v>101</v>
      </c>
      <c r="E10" s="32" t="s">
        <v>102</v>
      </c>
    </row>
    <row r="11" spans="1:5" ht="12.75">
      <c r="A11" s="22">
        <f>279990+30838+42651</f>
        <v>353479</v>
      </c>
      <c r="B11" s="22">
        <f>279990+36704.41+41209.5</f>
        <v>357903.91000000003</v>
      </c>
      <c r="C11" s="3">
        <f t="shared" si="0"/>
        <v>1.0125181693962018</v>
      </c>
      <c r="D11" s="32" t="s">
        <v>101</v>
      </c>
      <c r="E11" s="32" t="s">
        <v>102</v>
      </c>
    </row>
    <row r="12" spans="1:5" ht="12.75">
      <c r="A12" s="13">
        <v>80308</v>
      </c>
      <c r="B12" s="13">
        <v>100518</v>
      </c>
      <c r="C12" s="3">
        <f t="shared" si="0"/>
        <v>1.251656123922897</v>
      </c>
      <c r="D12" s="32" t="s">
        <v>101</v>
      </c>
      <c r="E12" s="32" t="s">
        <v>102</v>
      </c>
    </row>
    <row r="13" spans="1:5" ht="12.75">
      <c r="A13" s="13">
        <f>3500+165000</f>
        <v>168500</v>
      </c>
      <c r="B13" s="13">
        <f>4592.04+139814.1</f>
        <v>144406.14</v>
      </c>
      <c r="C13" s="3">
        <f t="shared" si="0"/>
        <v>0.8570097329376856</v>
      </c>
      <c r="D13" s="32" t="s">
        <v>101</v>
      </c>
      <c r="E13" s="32" t="s">
        <v>102</v>
      </c>
    </row>
    <row r="14" spans="1:5" ht="12.75">
      <c r="A14" s="13">
        <f>32385+58765+38000+29593.6+116750</f>
        <v>275493.6</v>
      </c>
      <c r="B14" s="13">
        <f>36352.37+69524.75+50147.5+29594+137133</f>
        <v>322751.62</v>
      </c>
      <c r="C14" s="3">
        <f>B14/A14</f>
        <v>1.171539447740347</v>
      </c>
      <c r="D14" s="32" t="s">
        <v>101</v>
      </c>
      <c r="E14" s="32" t="s">
        <v>102</v>
      </c>
    </row>
    <row r="15" spans="1:5" ht="12.75">
      <c r="A15" s="13">
        <v>44500</v>
      </c>
      <c r="B15" s="13">
        <v>42357.5</v>
      </c>
      <c r="C15" s="3">
        <f t="shared" si="0"/>
        <v>0.9518539325842696</v>
      </c>
      <c r="D15" s="32" t="s">
        <v>101</v>
      </c>
      <c r="E15" s="32" t="s">
        <v>102</v>
      </c>
    </row>
    <row r="16" spans="1:5" ht="12.75">
      <c r="A16" s="22">
        <v>170221.74</v>
      </c>
      <c r="B16" s="22">
        <v>201661.78</v>
      </c>
      <c r="C16" s="3">
        <f t="shared" si="0"/>
        <v>1.1847004971280402</v>
      </c>
      <c r="D16" s="32" t="s">
        <v>101</v>
      </c>
      <c r="E16" s="32" t="s">
        <v>102</v>
      </c>
    </row>
    <row r="17" spans="1:5" ht="12.75">
      <c r="A17" s="22">
        <f>122859+25247</f>
        <v>148106</v>
      </c>
      <c r="B17" s="22">
        <f>137030.5+14659.84</f>
        <v>151690.34</v>
      </c>
      <c r="C17" s="3">
        <f t="shared" si="0"/>
        <v>1.024201180235777</v>
      </c>
      <c r="D17" s="32" t="s">
        <v>101</v>
      </c>
      <c r="E17" s="32" t="s">
        <v>102</v>
      </c>
    </row>
    <row r="18" spans="1:5" ht="12.75">
      <c r="A18" s="22">
        <f>190000+62000</f>
        <v>252000</v>
      </c>
      <c r="B18" s="22">
        <f>137302.49+62218.99</f>
        <v>199521.47999999998</v>
      </c>
      <c r="C18" s="3">
        <f t="shared" si="0"/>
        <v>0.7917519047619047</v>
      </c>
      <c r="D18" s="32" t="s">
        <v>101</v>
      </c>
      <c r="E18" s="32" t="s">
        <v>102</v>
      </c>
    </row>
    <row r="19" spans="1:5" ht="12.75">
      <c r="A19" s="13">
        <v>39565</v>
      </c>
      <c r="B19" s="13">
        <v>46767</v>
      </c>
      <c r="C19" s="3">
        <f>B19/A19</f>
        <v>1.1820295715910527</v>
      </c>
      <c r="D19" s="32" t="s">
        <v>101</v>
      </c>
      <c r="E19" s="32" t="s">
        <v>102</v>
      </c>
    </row>
    <row r="20" spans="1:5" ht="12.75">
      <c r="A20" s="12">
        <f>2724+2724</f>
        <v>5448</v>
      </c>
      <c r="B20" s="12">
        <f>2724+2724</f>
        <v>5448</v>
      </c>
      <c r="C20" s="3">
        <f t="shared" si="0"/>
        <v>1</v>
      </c>
      <c r="D20" s="32" t="s">
        <v>101</v>
      </c>
      <c r="E20" s="32" t="s">
        <v>102</v>
      </c>
    </row>
    <row r="21" spans="1:5" ht="12.75">
      <c r="A21" s="16">
        <v>37100</v>
      </c>
      <c r="B21" s="13">
        <v>37100</v>
      </c>
      <c r="C21" s="3">
        <f t="shared" si="0"/>
        <v>1</v>
      </c>
      <c r="D21" s="32" t="s">
        <v>101</v>
      </c>
      <c r="E21" s="32" t="s">
        <v>102</v>
      </c>
    </row>
    <row r="22" spans="1:5" ht="12.75">
      <c r="A22" s="31">
        <v>49640</v>
      </c>
      <c r="B22" s="31">
        <v>49640</v>
      </c>
      <c r="C22" s="3">
        <f t="shared" si="0"/>
        <v>1</v>
      </c>
      <c r="D22" s="33" t="s">
        <v>101</v>
      </c>
      <c r="E22" s="33" t="s">
        <v>102</v>
      </c>
    </row>
    <row r="23" spans="1:5" ht="12.75">
      <c r="A23" s="31">
        <v>30000</v>
      </c>
      <c r="B23" s="31">
        <v>30000</v>
      </c>
      <c r="C23" s="3">
        <f t="shared" si="0"/>
        <v>1</v>
      </c>
      <c r="D23" s="33" t="s">
        <v>101</v>
      </c>
      <c r="E23" s="33" t="s">
        <v>102</v>
      </c>
    </row>
    <row r="24" spans="1:5" ht="12.75">
      <c r="A24" s="2">
        <f>25895.76+28578.22</f>
        <v>54473.979999999996</v>
      </c>
      <c r="B24" s="2">
        <f>6360+9889.56</f>
        <v>16249.56</v>
      </c>
      <c r="C24" s="3">
        <f t="shared" si="0"/>
        <v>0.29829948169750037</v>
      </c>
      <c r="D24" s="32" t="s">
        <v>101</v>
      </c>
      <c r="E24" s="32" t="s">
        <v>102</v>
      </c>
    </row>
    <row r="25" spans="1:5" ht="12.75">
      <c r="A25" s="2">
        <v>108807.3</v>
      </c>
      <c r="B25" s="2">
        <v>67148.29</v>
      </c>
      <c r="C25" s="4">
        <f>B25/A25</f>
        <v>0.6171303763626153</v>
      </c>
      <c r="D25" s="32" t="s">
        <v>101</v>
      </c>
      <c r="E25" s="32" t="s">
        <v>102</v>
      </c>
    </row>
    <row r="26" spans="1:5" ht="12.75">
      <c r="A26" s="2">
        <v>616.56</v>
      </c>
      <c r="B26" s="2">
        <v>616.56</v>
      </c>
      <c r="C26" s="4">
        <f>B26/A26</f>
        <v>1</v>
      </c>
      <c r="D26" s="32" t="s">
        <v>101</v>
      </c>
      <c r="E26" s="32" t="s">
        <v>102</v>
      </c>
    </row>
    <row r="27" spans="1:5" ht="12.75">
      <c r="A27" s="2">
        <f>4917.47+11089.91+41669</f>
        <v>57676.380000000005</v>
      </c>
      <c r="B27" s="2">
        <f>4917.47+11089.91+41669</f>
        <v>57676.380000000005</v>
      </c>
      <c r="C27" s="3">
        <f>B27/A27</f>
        <v>1</v>
      </c>
      <c r="D27" s="32" t="s">
        <v>101</v>
      </c>
      <c r="E27" s="32" t="s">
        <v>102</v>
      </c>
    </row>
    <row r="28" spans="1:5" ht="12.75">
      <c r="A28" s="13">
        <f>19397.53+3326+2300+2300</f>
        <v>27323.53</v>
      </c>
      <c r="B28" s="13">
        <f>15975.98+3326+2300+2300</f>
        <v>23901.98</v>
      </c>
      <c r="C28" s="3">
        <f t="shared" si="0"/>
        <v>0.8747764289606798</v>
      </c>
      <c r="D28" s="32" t="s">
        <v>106</v>
      </c>
      <c r="E28" s="32" t="s">
        <v>100</v>
      </c>
    </row>
    <row r="29" spans="1:5" ht="12.75">
      <c r="A29" s="12">
        <v>9170</v>
      </c>
      <c r="B29" s="12">
        <v>4387.75</v>
      </c>
      <c r="C29" s="3">
        <f t="shared" si="0"/>
        <v>0.4784896401308615</v>
      </c>
      <c r="D29" s="32" t="s">
        <v>106</v>
      </c>
      <c r="E29" s="32" t="s">
        <v>100</v>
      </c>
    </row>
    <row r="30" spans="1:5" ht="12.75">
      <c r="A30" s="31">
        <v>25000</v>
      </c>
      <c r="B30" s="31">
        <v>25000</v>
      </c>
      <c r="C30" s="3">
        <f t="shared" si="0"/>
        <v>1</v>
      </c>
      <c r="D30" s="33" t="s">
        <v>106</v>
      </c>
      <c r="E30" s="33" t="s">
        <v>100</v>
      </c>
    </row>
    <row r="31" spans="1:5" ht="12.75">
      <c r="A31" s="31">
        <v>637.5</v>
      </c>
      <c r="B31" s="31">
        <v>637.5</v>
      </c>
      <c r="C31" s="3">
        <f t="shared" si="0"/>
        <v>1</v>
      </c>
      <c r="D31" s="33" t="s">
        <v>106</v>
      </c>
      <c r="E31" s="33" t="s">
        <v>100</v>
      </c>
    </row>
    <row r="32" spans="1:5" ht="12.75">
      <c r="A32" s="31">
        <f>19999+13600</f>
        <v>33599</v>
      </c>
      <c r="B32" s="31">
        <f>19999+13600</f>
        <v>33599</v>
      </c>
      <c r="C32" s="3">
        <f t="shared" si="0"/>
        <v>1</v>
      </c>
      <c r="D32" s="33" t="s">
        <v>106</v>
      </c>
      <c r="E32" s="33" t="s">
        <v>100</v>
      </c>
    </row>
    <row r="33" spans="1:5" ht="12.75">
      <c r="A33" s="22">
        <v>62000</v>
      </c>
      <c r="B33" s="22">
        <v>42795</v>
      </c>
      <c r="C33" s="3">
        <f t="shared" si="0"/>
        <v>0.6902419354838709</v>
      </c>
      <c r="D33" s="32" t="s">
        <v>106</v>
      </c>
      <c r="E33" s="32" t="s">
        <v>102</v>
      </c>
    </row>
    <row r="34" spans="1:5" ht="12.75">
      <c r="A34" s="13">
        <f>42757.6+73500</f>
        <v>116257.6</v>
      </c>
      <c r="B34" s="13">
        <f>42757.6+85552.82</f>
        <v>128310.42000000001</v>
      </c>
      <c r="C34" s="3">
        <f t="shared" si="0"/>
        <v>1.1036733942555155</v>
      </c>
      <c r="D34" s="32" t="s">
        <v>106</v>
      </c>
      <c r="E34" s="32" t="s">
        <v>102</v>
      </c>
    </row>
    <row r="35" spans="1:5" ht="12.75">
      <c r="A35" s="22">
        <v>103565</v>
      </c>
      <c r="B35" s="22">
        <f>19120+91972.94</f>
        <v>111092.94</v>
      </c>
      <c r="C35" s="3">
        <f t="shared" si="0"/>
        <v>1.0726880702940182</v>
      </c>
      <c r="D35" s="32" t="s">
        <v>106</v>
      </c>
      <c r="E35" s="32" t="s">
        <v>102</v>
      </c>
    </row>
    <row r="36" spans="1:5" ht="12.75">
      <c r="A36" s="22">
        <f>317884+1391942</f>
        <v>1709826</v>
      </c>
      <c r="B36" s="22">
        <f>317884+1391942</f>
        <v>1709826</v>
      </c>
      <c r="C36" s="3">
        <f t="shared" si="0"/>
        <v>1</v>
      </c>
      <c r="D36" s="32" t="s">
        <v>106</v>
      </c>
      <c r="E36" s="32" t="s">
        <v>102</v>
      </c>
    </row>
    <row r="37" spans="1:5" ht="12.75">
      <c r="A37" s="12">
        <v>3105</v>
      </c>
      <c r="B37" s="13">
        <f>2600+505</f>
        <v>3105</v>
      </c>
      <c r="C37" s="3">
        <f t="shared" si="0"/>
        <v>1</v>
      </c>
      <c r="D37" s="32" t="s">
        <v>106</v>
      </c>
      <c r="E37" s="32" t="s">
        <v>102</v>
      </c>
    </row>
    <row r="38" spans="1:5" ht="12.75">
      <c r="A38" s="13">
        <v>2400</v>
      </c>
      <c r="B38" s="12">
        <v>2420</v>
      </c>
      <c r="C38" s="3">
        <f t="shared" si="0"/>
        <v>1.0083333333333333</v>
      </c>
      <c r="D38" s="32" t="s">
        <v>106</v>
      </c>
      <c r="E38" s="32" t="s">
        <v>102</v>
      </c>
    </row>
    <row r="39" spans="1:5" ht="12.75">
      <c r="A39" s="12">
        <v>3019.6</v>
      </c>
      <c r="B39" s="12">
        <v>3019.57</v>
      </c>
      <c r="C39" s="3">
        <f t="shared" si="0"/>
        <v>0.9999900649092596</v>
      </c>
      <c r="D39" s="32" t="s">
        <v>106</v>
      </c>
      <c r="E39" s="32" t="s">
        <v>102</v>
      </c>
    </row>
    <row r="40" spans="1:5" ht="12.75">
      <c r="A40" s="12">
        <f>4457+6660+41783+25800+54156</f>
        <v>132856</v>
      </c>
      <c r="B40" s="12">
        <f>4457+6660+41783+25800+50106.16</f>
        <v>128806.16</v>
      </c>
      <c r="C40" s="3">
        <f t="shared" si="0"/>
        <v>0.9695170711145903</v>
      </c>
      <c r="D40" s="32" t="s">
        <v>106</v>
      </c>
      <c r="E40" s="32" t="s">
        <v>102</v>
      </c>
    </row>
    <row r="41" spans="1:5" ht="12.75">
      <c r="A41" s="12">
        <v>16290</v>
      </c>
      <c r="B41" s="13">
        <v>16290</v>
      </c>
      <c r="C41" s="3">
        <f t="shared" si="0"/>
        <v>1</v>
      </c>
      <c r="D41" s="32" t="s">
        <v>106</v>
      </c>
      <c r="E41" s="32" t="s">
        <v>102</v>
      </c>
    </row>
    <row r="42" spans="1:5" ht="12.75">
      <c r="A42" s="31">
        <v>11250</v>
      </c>
      <c r="B42" s="31">
        <v>11250</v>
      </c>
      <c r="C42" s="3">
        <f t="shared" si="0"/>
        <v>1</v>
      </c>
      <c r="D42" s="33" t="s">
        <v>106</v>
      </c>
      <c r="E42" s="33" t="s">
        <v>102</v>
      </c>
    </row>
    <row r="43" spans="1:5" ht="12.75">
      <c r="A43" s="2">
        <f>260091+10200</f>
        <v>270291</v>
      </c>
      <c r="B43" s="2">
        <f>260091+10200</f>
        <v>270291</v>
      </c>
      <c r="C43" s="3">
        <f t="shared" si="0"/>
        <v>1</v>
      </c>
      <c r="D43" s="32" t="s">
        <v>106</v>
      </c>
      <c r="E43" s="32" t="s">
        <v>102</v>
      </c>
    </row>
    <row r="44" spans="1:5" ht="12.75">
      <c r="A44" s="31">
        <v>49825</v>
      </c>
      <c r="B44" s="31">
        <v>49825</v>
      </c>
      <c r="C44" s="3">
        <f>B44/A44</f>
        <v>1</v>
      </c>
      <c r="D44" s="33" t="s">
        <v>106</v>
      </c>
      <c r="E44" s="33" t="s">
        <v>102</v>
      </c>
    </row>
    <row r="45" spans="1:5" ht="12.75">
      <c r="A45" s="13">
        <v>27861.98</v>
      </c>
      <c r="B45" s="13">
        <v>27862</v>
      </c>
      <c r="C45" s="3">
        <f t="shared" si="0"/>
        <v>1.0000007178240742</v>
      </c>
      <c r="D45" s="32" t="s">
        <v>109</v>
      </c>
      <c r="E45" s="32" t="s">
        <v>100</v>
      </c>
    </row>
    <row r="46" spans="1:5" ht="12.75">
      <c r="A46" s="53">
        <v>17751</v>
      </c>
      <c r="B46" s="53">
        <v>19369</v>
      </c>
      <c r="C46" s="18">
        <f>B46/A46</f>
        <v>1.0911497943777815</v>
      </c>
      <c r="D46" s="47" t="s">
        <v>109</v>
      </c>
      <c r="E46" s="47" t="s">
        <v>100</v>
      </c>
    </row>
    <row r="47" spans="1:5" ht="12.75">
      <c r="A47" s="53">
        <v>80130</v>
      </c>
      <c r="B47" s="53">
        <v>73546.17</v>
      </c>
      <c r="C47" s="18">
        <f>B47/A47</f>
        <v>0.9178356420816174</v>
      </c>
      <c r="D47" s="47" t="s">
        <v>109</v>
      </c>
      <c r="E47" s="47" t="s">
        <v>100</v>
      </c>
    </row>
    <row r="48" spans="1:5" ht="12.75">
      <c r="A48" s="55">
        <f>125166.75+1200</f>
        <v>126366.75</v>
      </c>
      <c r="B48" s="55">
        <f>125166.75+2755+0</f>
        <v>127921.75</v>
      </c>
      <c r="C48" s="18">
        <f>B48/A48</f>
        <v>1.0123054521858004</v>
      </c>
      <c r="D48" s="47" t="s">
        <v>109</v>
      </c>
      <c r="E48" s="47" t="s">
        <v>100</v>
      </c>
    </row>
    <row r="49" spans="1:5" ht="12.75">
      <c r="A49" s="54">
        <f>9125+35307.5+1705+11590</f>
        <v>57727.5</v>
      </c>
      <c r="B49" s="53">
        <f>12290.63+81911.94+2173.05+11636.5</f>
        <v>108012.12000000001</v>
      </c>
      <c r="C49" s="18">
        <f>B49/A49</f>
        <v>1.871068728075874</v>
      </c>
      <c r="D49" s="47" t="s">
        <v>109</v>
      </c>
      <c r="E49" s="47" t="s">
        <v>100</v>
      </c>
    </row>
    <row r="50" spans="1:5" ht="12.75">
      <c r="A50" s="53">
        <v>2000</v>
      </c>
      <c r="B50" s="53">
        <v>4553.05</v>
      </c>
      <c r="C50" s="18">
        <f>B50/A50</f>
        <v>2.276525</v>
      </c>
      <c r="D50" s="47" t="s">
        <v>109</v>
      </c>
      <c r="E50" s="47" t="s">
        <v>100</v>
      </c>
    </row>
    <row r="51" spans="1:5" ht="12.75">
      <c r="A51" s="13">
        <v>88164.03</v>
      </c>
      <c r="B51" s="13">
        <v>118253.2</v>
      </c>
      <c r="C51" s="3">
        <f t="shared" si="0"/>
        <v>1.3412862365751657</v>
      </c>
      <c r="D51" s="32" t="s">
        <v>109</v>
      </c>
      <c r="E51" s="32" t="s">
        <v>100</v>
      </c>
    </row>
    <row r="52" spans="1:5" ht="12.75">
      <c r="A52" s="22">
        <f>5447+2500</f>
        <v>7947</v>
      </c>
      <c r="B52" s="22">
        <f>10733+2500</f>
        <v>13233</v>
      </c>
      <c r="C52" s="3">
        <f>B52/A52</f>
        <v>1.6651566628916572</v>
      </c>
      <c r="D52" s="32" t="s">
        <v>109</v>
      </c>
      <c r="E52" s="32" t="s">
        <v>100</v>
      </c>
    </row>
    <row r="53" spans="1:5" ht="12.75">
      <c r="A53" s="22">
        <f>67016.45+125885+3750</f>
        <v>196651.45</v>
      </c>
      <c r="B53" s="13">
        <f>84594.68+164410+7700</f>
        <v>256704.68</v>
      </c>
      <c r="C53" s="3">
        <f t="shared" si="0"/>
        <v>1.305379034835492</v>
      </c>
      <c r="D53" s="32" t="s">
        <v>109</v>
      </c>
      <c r="E53" s="32" t="s">
        <v>100</v>
      </c>
    </row>
    <row r="54" spans="1:5" ht="12.75">
      <c r="A54" s="13">
        <v>26000</v>
      </c>
      <c r="B54" s="13">
        <v>0</v>
      </c>
      <c r="C54" s="3">
        <f>B54/A54</f>
        <v>0</v>
      </c>
      <c r="D54" s="32" t="s">
        <v>109</v>
      </c>
      <c r="E54" s="32" t="s">
        <v>100</v>
      </c>
    </row>
    <row r="55" spans="1:5" ht="12.75">
      <c r="A55" s="13">
        <v>21400</v>
      </c>
      <c r="B55" s="13">
        <v>30182.65</v>
      </c>
      <c r="C55" s="3">
        <f t="shared" si="0"/>
        <v>1.4104042056074768</v>
      </c>
      <c r="D55" s="32" t="s">
        <v>109</v>
      </c>
      <c r="E55" s="32" t="s">
        <v>100</v>
      </c>
    </row>
    <row r="56" spans="1:5" ht="12.75">
      <c r="A56" s="22">
        <f>11542.5+21750</f>
        <v>33292.5</v>
      </c>
      <c r="B56" s="13">
        <f>11153.7+20159.35</f>
        <v>31313.05</v>
      </c>
      <c r="C56" s="3">
        <f t="shared" si="0"/>
        <v>0.9405436659908387</v>
      </c>
      <c r="D56" s="32" t="s">
        <v>109</v>
      </c>
      <c r="E56" s="32" t="s">
        <v>100</v>
      </c>
    </row>
    <row r="57" spans="1:5" ht="12.75">
      <c r="A57" s="13">
        <v>2000</v>
      </c>
      <c r="B57" s="13">
        <v>2250.13</v>
      </c>
      <c r="C57" s="3">
        <f t="shared" si="0"/>
        <v>1.125065</v>
      </c>
      <c r="D57" s="32" t="s">
        <v>109</v>
      </c>
      <c r="E57" s="32" t="s">
        <v>100</v>
      </c>
    </row>
    <row r="58" spans="1:5" ht="12.75">
      <c r="A58" s="13">
        <v>720</v>
      </c>
      <c r="B58" s="13">
        <v>720</v>
      </c>
      <c r="C58" s="3">
        <f t="shared" si="0"/>
        <v>1</v>
      </c>
      <c r="D58" s="32" t="s">
        <v>109</v>
      </c>
      <c r="E58" s="32" t="s">
        <v>100</v>
      </c>
    </row>
    <row r="59" spans="1:5" ht="12.75">
      <c r="A59" s="13">
        <v>24469.9</v>
      </c>
      <c r="B59" s="13">
        <v>24469.9</v>
      </c>
      <c r="C59" s="3">
        <f t="shared" si="0"/>
        <v>1</v>
      </c>
      <c r="D59" s="32" t="s">
        <v>109</v>
      </c>
      <c r="E59" s="32" t="s">
        <v>100</v>
      </c>
    </row>
    <row r="60" spans="1:5" ht="12.75">
      <c r="A60" s="13">
        <v>4000</v>
      </c>
      <c r="B60" s="13">
        <v>5429.55</v>
      </c>
      <c r="C60" s="3">
        <f t="shared" si="0"/>
        <v>1.3573875</v>
      </c>
      <c r="D60" s="32" t="s">
        <v>109</v>
      </c>
      <c r="E60" s="32" t="s">
        <v>100</v>
      </c>
    </row>
    <row r="61" spans="1:5" ht="12.75">
      <c r="A61" s="13">
        <v>16435.96</v>
      </c>
      <c r="B61" s="13">
        <v>16435.96</v>
      </c>
      <c r="C61" s="3">
        <f t="shared" si="0"/>
        <v>1</v>
      </c>
      <c r="D61" s="32" t="s">
        <v>109</v>
      </c>
      <c r="E61" s="32" t="s">
        <v>100</v>
      </c>
    </row>
    <row r="62" spans="1:5" ht="12.75">
      <c r="A62" s="22">
        <v>105751.25</v>
      </c>
      <c r="B62" s="13">
        <v>105751.25</v>
      </c>
      <c r="C62" s="3">
        <f t="shared" si="0"/>
        <v>1</v>
      </c>
      <c r="D62" s="32" t="s">
        <v>109</v>
      </c>
      <c r="E62" s="32" t="s">
        <v>100</v>
      </c>
    </row>
    <row r="63" spans="1:5" ht="12.75">
      <c r="A63" s="22">
        <f>165000+160000</f>
        <v>325000</v>
      </c>
      <c r="B63" s="22">
        <f>142321.25+244974.5</f>
        <v>387295.75</v>
      </c>
      <c r="C63" s="3">
        <f t="shared" si="0"/>
        <v>1.1916792307692308</v>
      </c>
      <c r="D63" s="32" t="s">
        <v>109</v>
      </c>
      <c r="E63" s="32" t="s">
        <v>100</v>
      </c>
    </row>
    <row r="64" spans="1:5" ht="12.75">
      <c r="A64" s="13">
        <v>4000</v>
      </c>
      <c r="B64" s="13">
        <v>5128.24</v>
      </c>
      <c r="C64" s="3">
        <f t="shared" si="0"/>
        <v>1.28206</v>
      </c>
      <c r="D64" s="32" t="s">
        <v>109</v>
      </c>
      <c r="E64" s="32" t="s">
        <v>100</v>
      </c>
    </row>
    <row r="65" spans="1:5" ht="12.75">
      <c r="A65" s="14">
        <v>7497</v>
      </c>
      <c r="B65" s="13">
        <v>7497</v>
      </c>
      <c r="C65" s="3">
        <f>B65/A65</f>
        <v>1</v>
      </c>
      <c r="D65" s="32" t="s">
        <v>109</v>
      </c>
      <c r="E65" s="32" t="s">
        <v>100</v>
      </c>
    </row>
    <row r="66" spans="1:5" ht="12.75">
      <c r="A66" s="12">
        <v>20160</v>
      </c>
      <c r="B66" s="13">
        <v>20160</v>
      </c>
      <c r="C66" s="3">
        <f>B66/A66</f>
        <v>1</v>
      </c>
      <c r="D66" s="32" t="s">
        <v>109</v>
      </c>
      <c r="E66" s="32" t="s">
        <v>100</v>
      </c>
    </row>
    <row r="67" spans="1:5" ht="12.75">
      <c r="A67" s="13">
        <v>7800</v>
      </c>
      <c r="B67" s="12">
        <v>4324</v>
      </c>
      <c r="C67" s="3">
        <f>B67/A67</f>
        <v>0.5543589743589744</v>
      </c>
      <c r="D67" s="32" t="s">
        <v>109</v>
      </c>
      <c r="E67" s="32" t="s">
        <v>100</v>
      </c>
    </row>
    <row r="68" spans="1:5" ht="12.75">
      <c r="A68" s="12">
        <f>1835+10775+695</f>
        <v>13305</v>
      </c>
      <c r="B68" s="13">
        <f>5967.5+10775+695</f>
        <v>17437.5</v>
      </c>
      <c r="C68" s="3">
        <f>B68/A68</f>
        <v>1.310597519729425</v>
      </c>
      <c r="D68" s="32" t="s">
        <v>109</v>
      </c>
      <c r="E68" s="32" t="s">
        <v>100</v>
      </c>
    </row>
    <row r="69" spans="1:5" ht="12.75">
      <c r="A69" s="13">
        <v>8825</v>
      </c>
      <c r="B69" s="13">
        <v>8825</v>
      </c>
      <c r="C69" s="3">
        <f>B69/A69</f>
        <v>1</v>
      </c>
      <c r="D69" s="32" t="s">
        <v>109</v>
      </c>
      <c r="E69" s="32" t="s">
        <v>100</v>
      </c>
    </row>
    <row r="70" spans="1:5" ht="12.75">
      <c r="A70" s="13">
        <f>18470+16995.4</f>
        <v>35465.4</v>
      </c>
      <c r="B70" s="13">
        <f>18470+16995.4</f>
        <v>35465.4</v>
      </c>
      <c r="C70" s="3">
        <f t="shared" si="0"/>
        <v>1</v>
      </c>
      <c r="D70" s="34" t="s">
        <v>109</v>
      </c>
      <c r="E70" s="34" t="s">
        <v>100</v>
      </c>
    </row>
    <row r="71" spans="1:5" ht="12.75">
      <c r="A71" s="53">
        <v>23787.5</v>
      </c>
      <c r="B71" s="53">
        <v>23787.5</v>
      </c>
      <c r="C71" s="18">
        <f>B71/A71</f>
        <v>1</v>
      </c>
      <c r="D71" s="47" t="s">
        <v>109</v>
      </c>
      <c r="E71" s="47" t="s">
        <v>100</v>
      </c>
    </row>
    <row r="72" spans="1:5" ht="12.75">
      <c r="A72" s="20">
        <v>390.5</v>
      </c>
      <c r="B72" s="53">
        <v>390.5</v>
      </c>
      <c r="C72" s="18">
        <f>B72/A72</f>
        <v>1</v>
      </c>
      <c r="D72" s="47" t="s">
        <v>109</v>
      </c>
      <c r="E72" s="47" t="s">
        <v>100</v>
      </c>
    </row>
    <row r="73" spans="1:5" ht="12.75">
      <c r="A73" s="29">
        <v>288883</v>
      </c>
      <c r="B73" s="29">
        <v>288883</v>
      </c>
      <c r="C73" s="18">
        <f t="shared" si="0"/>
        <v>1</v>
      </c>
      <c r="D73" s="25" t="s">
        <v>109</v>
      </c>
      <c r="E73" s="25" t="s">
        <v>100</v>
      </c>
    </row>
    <row r="74" spans="1:5" ht="12.75">
      <c r="A74" s="31">
        <v>10000</v>
      </c>
      <c r="B74" s="31">
        <v>10000</v>
      </c>
      <c r="C74" s="3">
        <f aca="true" t="shared" si="1" ref="C74:C91">B74/A74</f>
        <v>1</v>
      </c>
      <c r="D74" s="33" t="s">
        <v>109</v>
      </c>
      <c r="E74" s="33" t="s">
        <v>100</v>
      </c>
    </row>
    <row r="75" spans="1:5" ht="12.75">
      <c r="A75" s="31">
        <v>7200</v>
      </c>
      <c r="B75" s="31">
        <v>7200</v>
      </c>
      <c r="C75" s="3">
        <f t="shared" si="1"/>
        <v>1</v>
      </c>
      <c r="D75" s="33" t="s">
        <v>109</v>
      </c>
      <c r="E75" s="33" t="s">
        <v>100</v>
      </c>
    </row>
    <row r="76" spans="1:5" ht="12.75">
      <c r="A76" s="2">
        <f>5155.66+25969</f>
        <v>31124.66</v>
      </c>
      <c r="B76" s="2">
        <f>5155.66+25969</f>
        <v>31124.66</v>
      </c>
      <c r="C76" s="4">
        <f t="shared" si="1"/>
        <v>1</v>
      </c>
      <c r="D76" s="32" t="s">
        <v>109</v>
      </c>
      <c r="E76" s="32" t="s">
        <v>100</v>
      </c>
    </row>
    <row r="77" spans="1:5" ht="12.75">
      <c r="A77" s="5">
        <v>9844.81</v>
      </c>
      <c r="B77" s="5">
        <v>9844.81</v>
      </c>
      <c r="C77" s="4">
        <f t="shared" si="1"/>
        <v>1</v>
      </c>
      <c r="D77" s="32" t="s">
        <v>109</v>
      </c>
      <c r="E77" s="32" t="s">
        <v>100</v>
      </c>
    </row>
    <row r="78" spans="1:5" ht="12.75">
      <c r="A78" s="13">
        <f>220000+27830</f>
        <v>247830</v>
      </c>
      <c r="B78" s="13">
        <f>233337.02+33811.68</f>
        <v>267148.7</v>
      </c>
      <c r="C78" s="3">
        <f t="shared" si="1"/>
        <v>1.077951418310939</v>
      </c>
      <c r="D78" s="32" t="s">
        <v>109</v>
      </c>
      <c r="E78" s="32" t="s">
        <v>102</v>
      </c>
    </row>
    <row r="79" spans="1:5" ht="12.75">
      <c r="A79" s="17">
        <v>1000</v>
      </c>
      <c r="B79" s="13">
        <v>1000</v>
      </c>
      <c r="C79" s="3">
        <f t="shared" si="1"/>
        <v>1</v>
      </c>
      <c r="D79" s="32" t="s">
        <v>109</v>
      </c>
      <c r="E79" s="32" t="s">
        <v>102</v>
      </c>
    </row>
    <row r="80" spans="1:5" ht="12.75">
      <c r="A80" s="22">
        <v>200000</v>
      </c>
      <c r="B80" s="22">
        <v>209900.66</v>
      </c>
      <c r="C80" s="3">
        <f t="shared" si="1"/>
        <v>1.0495033</v>
      </c>
      <c r="D80" s="32" t="s">
        <v>113</v>
      </c>
      <c r="E80" s="32" t="s">
        <v>100</v>
      </c>
    </row>
    <row r="81" spans="1:5" ht="12.75">
      <c r="A81" s="13">
        <f>335800+16910+25263.1</f>
        <v>377973.1</v>
      </c>
      <c r="B81" s="13">
        <f>414112.21+16910+25263</f>
        <v>456285.21</v>
      </c>
      <c r="C81" s="3">
        <f t="shared" si="1"/>
        <v>1.2071896386277225</v>
      </c>
      <c r="D81" s="32" t="s">
        <v>113</v>
      </c>
      <c r="E81" s="32" t="s">
        <v>100</v>
      </c>
    </row>
    <row r="82" spans="1:5" ht="12.75">
      <c r="A82" s="13">
        <f>102000+7500+19000</f>
        <v>128500</v>
      </c>
      <c r="B82" s="13">
        <f>102000+7500+19000</f>
        <v>128500</v>
      </c>
      <c r="C82" s="3">
        <f t="shared" si="1"/>
        <v>1</v>
      </c>
      <c r="D82" s="32" t="s">
        <v>113</v>
      </c>
      <c r="E82" s="32" t="s">
        <v>102</v>
      </c>
    </row>
    <row r="83" spans="1:5" ht="12.75">
      <c r="A83" s="13">
        <v>14568</v>
      </c>
      <c r="B83" s="13">
        <v>14300</v>
      </c>
      <c r="C83" s="3">
        <f t="shared" si="1"/>
        <v>0.9816035145524438</v>
      </c>
      <c r="D83" s="32" t="s">
        <v>113</v>
      </c>
      <c r="E83" s="32" t="s">
        <v>102</v>
      </c>
    </row>
    <row r="84" spans="1:5" ht="12.75">
      <c r="A84" s="13">
        <f>167772</f>
        <v>167772</v>
      </c>
      <c r="B84" s="13">
        <f>168418.46</f>
        <v>168418.46</v>
      </c>
      <c r="C84" s="3">
        <f t="shared" si="1"/>
        <v>1.003853205540853</v>
      </c>
      <c r="D84" s="32" t="s">
        <v>113</v>
      </c>
      <c r="E84" s="32" t="s">
        <v>102</v>
      </c>
    </row>
    <row r="85" spans="1:5" ht="12.75">
      <c r="A85" s="13">
        <f>26750+30245.14+123500+21743</f>
        <v>202238.14</v>
      </c>
      <c r="B85" s="13">
        <f>26750+32917.35+138374.27+36422.36</f>
        <v>234463.97999999998</v>
      </c>
      <c r="C85" s="3">
        <f t="shared" si="1"/>
        <v>1.1593460066434549</v>
      </c>
      <c r="D85" s="32" t="s">
        <v>113</v>
      </c>
      <c r="E85" s="32" t="s">
        <v>102</v>
      </c>
    </row>
    <row r="86" spans="1:5" ht="12.75">
      <c r="A86" s="16">
        <f>51300+46000</f>
        <v>97300</v>
      </c>
      <c r="B86" s="16">
        <f>51300+43916.75</f>
        <v>95216.75</v>
      </c>
      <c r="C86" s="3">
        <f t="shared" si="1"/>
        <v>0.9785894141829393</v>
      </c>
      <c r="D86" s="32" t="s">
        <v>113</v>
      </c>
      <c r="E86" s="32" t="s">
        <v>102</v>
      </c>
    </row>
    <row r="87" spans="1:5" ht="12.75">
      <c r="A87" s="22">
        <f>23500+2500</f>
        <v>26000</v>
      </c>
      <c r="B87" s="22">
        <f>33672.03+2500</f>
        <v>36172.03</v>
      </c>
      <c r="C87" s="3">
        <f t="shared" si="1"/>
        <v>1.391231923076923</v>
      </c>
      <c r="D87" s="32" t="s">
        <v>113</v>
      </c>
      <c r="E87" s="32" t="s">
        <v>102</v>
      </c>
    </row>
    <row r="88" spans="1:5" ht="12.75">
      <c r="A88" s="13">
        <f>155000+7000+11694.66</f>
        <v>173694.66</v>
      </c>
      <c r="B88" s="13">
        <f>203739.61+16816.38+11694.66</f>
        <v>232250.65</v>
      </c>
      <c r="C88" s="3">
        <f t="shared" si="1"/>
        <v>1.3371202661037478</v>
      </c>
      <c r="D88" s="32" t="s">
        <v>113</v>
      </c>
      <c r="E88" s="32" t="s">
        <v>102</v>
      </c>
    </row>
    <row r="89" spans="1:5" ht="12.75">
      <c r="A89" s="13">
        <v>13757.6</v>
      </c>
      <c r="B89" s="13">
        <v>7585</v>
      </c>
      <c r="C89" s="3">
        <f t="shared" si="1"/>
        <v>0.5513316276094667</v>
      </c>
      <c r="D89" s="32" t="s">
        <v>113</v>
      </c>
      <c r="E89" s="32" t="s">
        <v>102</v>
      </c>
    </row>
    <row r="90" spans="1:5" ht="12.75">
      <c r="A90" s="31">
        <v>15000</v>
      </c>
      <c r="B90" s="31">
        <v>15000</v>
      </c>
      <c r="C90" s="3">
        <f t="shared" si="1"/>
        <v>1</v>
      </c>
      <c r="D90" s="33" t="s">
        <v>113</v>
      </c>
      <c r="E90" s="33" t="s">
        <v>102</v>
      </c>
    </row>
    <row r="91" spans="1:5" ht="12.75">
      <c r="A91" s="2">
        <v>6550</v>
      </c>
      <c r="B91" s="2">
        <v>6550</v>
      </c>
      <c r="C91" s="3">
        <f t="shared" si="1"/>
        <v>1</v>
      </c>
      <c r="D91" s="34" t="s">
        <v>113</v>
      </c>
      <c r="E91" s="34" t="s">
        <v>102</v>
      </c>
    </row>
    <row r="92" spans="1:5" ht="12.75">
      <c r="A92" s="28">
        <v>0</v>
      </c>
      <c r="B92" s="28">
        <v>0</v>
      </c>
      <c r="C92" s="18">
        <v>0</v>
      </c>
      <c r="D92" s="47" t="s">
        <v>113</v>
      </c>
      <c r="E92" s="47" t="s">
        <v>102</v>
      </c>
    </row>
    <row r="93" spans="1:5" ht="12.75">
      <c r="A93" s="53">
        <f>276469+109393</f>
        <v>385862</v>
      </c>
      <c r="B93" s="53">
        <f>284153.75+111366</f>
        <v>395519.75</v>
      </c>
      <c r="C93" s="18">
        <f t="shared" si="0"/>
        <v>1.0250290259211843</v>
      </c>
      <c r="D93" s="47" t="s">
        <v>104</v>
      </c>
      <c r="E93" s="47" t="s">
        <v>100</v>
      </c>
    </row>
    <row r="94" spans="1:5" ht="12.75">
      <c r="A94" s="53">
        <v>245428</v>
      </c>
      <c r="B94" s="53">
        <v>244432</v>
      </c>
      <c r="C94" s="18">
        <f t="shared" si="0"/>
        <v>0.995941783333605</v>
      </c>
      <c r="D94" s="47" t="s">
        <v>104</v>
      </c>
      <c r="E94" s="47" t="s">
        <v>100</v>
      </c>
    </row>
    <row r="95" spans="1:5" ht="12.75">
      <c r="A95" s="53">
        <f>8850+4507.25</f>
        <v>13357.25</v>
      </c>
      <c r="B95" s="53">
        <f>1289+7705.5</f>
        <v>8994.5</v>
      </c>
      <c r="C95" s="18">
        <f aca="true" t="shared" si="2" ref="C95:C107">B95/A95</f>
        <v>0.6733796252971233</v>
      </c>
      <c r="D95" s="47" t="s">
        <v>104</v>
      </c>
      <c r="E95" s="47" t="s">
        <v>100</v>
      </c>
    </row>
    <row r="96" spans="1:5" ht="12.75">
      <c r="A96" s="28">
        <v>2420.42</v>
      </c>
      <c r="B96" s="28">
        <v>2420.42</v>
      </c>
      <c r="C96" s="57">
        <f t="shared" si="2"/>
        <v>1</v>
      </c>
      <c r="D96" s="47" t="s">
        <v>104</v>
      </c>
      <c r="E96" s="47" t="s">
        <v>100</v>
      </c>
    </row>
    <row r="97" spans="1:5" ht="12.75">
      <c r="A97" s="13">
        <v>65350</v>
      </c>
      <c r="B97" s="13">
        <v>67928.44</v>
      </c>
      <c r="C97" s="3">
        <f t="shared" si="2"/>
        <v>1.0394558530986993</v>
      </c>
      <c r="D97" s="32" t="s">
        <v>104</v>
      </c>
      <c r="E97" s="32" t="s">
        <v>102</v>
      </c>
    </row>
    <row r="98" spans="1:5" ht="12.75">
      <c r="A98" s="16">
        <f>149962.04+21000</f>
        <v>170962.04</v>
      </c>
      <c r="B98" s="16">
        <f>149962.04+21000</f>
        <v>170962.04</v>
      </c>
      <c r="C98" s="3">
        <f t="shared" si="2"/>
        <v>1</v>
      </c>
      <c r="D98" s="32" t="s">
        <v>104</v>
      </c>
      <c r="E98" s="32" t="s">
        <v>102</v>
      </c>
    </row>
    <row r="99" spans="1:5" ht="12.75">
      <c r="A99" s="13">
        <f>45291.8+272840+42585</f>
        <v>360716.8</v>
      </c>
      <c r="B99" s="13">
        <f>45291.8+286055+45945.15</f>
        <v>377291.95</v>
      </c>
      <c r="C99" s="3">
        <f t="shared" si="2"/>
        <v>1.045950590601824</v>
      </c>
      <c r="D99" s="32" t="s">
        <v>104</v>
      </c>
      <c r="E99" s="32" t="s">
        <v>102</v>
      </c>
    </row>
    <row r="100" spans="1:5" ht="12.75">
      <c r="A100" s="13">
        <f>1416619+7000</f>
        <v>1423619</v>
      </c>
      <c r="B100" s="13">
        <f>1416619+11880</f>
        <v>1428499</v>
      </c>
      <c r="C100" s="3">
        <f t="shared" si="2"/>
        <v>1.0034278834435337</v>
      </c>
      <c r="D100" s="32" t="s">
        <v>104</v>
      </c>
      <c r="E100" s="32" t="s">
        <v>102</v>
      </c>
    </row>
    <row r="101" spans="1:5" ht="12.75">
      <c r="A101" s="22">
        <v>15000</v>
      </c>
      <c r="B101" s="22">
        <v>23150.78</v>
      </c>
      <c r="C101" s="3">
        <f t="shared" si="2"/>
        <v>1.5433853333333332</v>
      </c>
      <c r="D101" s="32" t="s">
        <v>104</v>
      </c>
      <c r="E101" s="32" t="s">
        <v>102</v>
      </c>
    </row>
    <row r="102" spans="1:5" ht="12.75">
      <c r="A102" s="22">
        <v>3937.79</v>
      </c>
      <c r="B102" s="22">
        <v>3938</v>
      </c>
      <c r="C102" s="3">
        <f t="shared" si="2"/>
        <v>1.0000533294055802</v>
      </c>
      <c r="D102" s="32" t="s">
        <v>104</v>
      </c>
      <c r="E102" s="32" t="s">
        <v>102</v>
      </c>
    </row>
    <row r="103" spans="1:5" ht="12.75">
      <c r="A103" s="16">
        <f>283793.71+39242.32+6740+7459+7863+26967</f>
        <v>372065.03</v>
      </c>
      <c r="B103" s="16">
        <f>283793.71+39242.32+6740+16021.44+14543+101426.37</f>
        <v>461766.84</v>
      </c>
      <c r="C103" s="3">
        <f t="shared" si="2"/>
        <v>1.241091752159562</v>
      </c>
      <c r="D103" s="32" t="s">
        <v>104</v>
      </c>
      <c r="E103" s="32" t="s">
        <v>102</v>
      </c>
    </row>
    <row r="104" spans="1:5" ht="12.75">
      <c r="A104" s="22">
        <v>34700</v>
      </c>
      <c r="B104" s="22">
        <v>35908.5</v>
      </c>
      <c r="C104" s="3">
        <f t="shared" si="2"/>
        <v>1.0348270893371758</v>
      </c>
      <c r="D104" s="32" t="s">
        <v>104</v>
      </c>
      <c r="E104" s="32" t="s">
        <v>102</v>
      </c>
    </row>
    <row r="105" spans="1:5" ht="12.75">
      <c r="A105" s="13">
        <v>6400</v>
      </c>
      <c r="B105" s="13">
        <v>6400</v>
      </c>
      <c r="C105" s="3">
        <f t="shared" si="2"/>
        <v>1</v>
      </c>
      <c r="D105" s="32" t="s">
        <v>104</v>
      </c>
      <c r="E105" s="32" t="s">
        <v>102</v>
      </c>
    </row>
    <row r="106" spans="1:5" ht="12.75">
      <c r="A106" s="13">
        <v>3100</v>
      </c>
      <c r="B106" s="13">
        <v>3285</v>
      </c>
      <c r="C106" s="3">
        <f t="shared" si="2"/>
        <v>1.0596774193548386</v>
      </c>
      <c r="D106" s="32" t="s">
        <v>104</v>
      </c>
      <c r="E106" s="32" t="s">
        <v>102</v>
      </c>
    </row>
    <row r="107" spans="1:5" ht="12.75">
      <c r="A107" s="41">
        <f>SUM(A1:A106)</f>
        <v>11907796.889999999</v>
      </c>
      <c r="B107" s="41">
        <f>SUM(B1:B106)</f>
        <v>12645489.36</v>
      </c>
      <c r="C107" s="42">
        <f t="shared" si="2"/>
        <v>1.0619503739284892</v>
      </c>
      <c r="D107" s="40"/>
      <c r="E107" s="40"/>
    </row>
    <row r="108" spans="1:5" ht="12.75">
      <c r="A108" s="52"/>
      <c r="B108" s="31"/>
      <c r="C108" s="56"/>
      <c r="D108" s="33"/>
      <c r="E108" s="33"/>
    </row>
    <row r="109" spans="1:5" ht="12.75">
      <c r="A109" s="52"/>
      <c r="B109" s="31"/>
      <c r="C109" s="56"/>
      <c r="D109" s="33"/>
      <c r="E109" s="3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County</dc:creator>
  <cp:keywords/>
  <dc:description/>
  <cp:lastModifiedBy>JodiMapp</cp:lastModifiedBy>
  <cp:lastPrinted>2012-01-04T21:19:07Z</cp:lastPrinted>
  <dcterms:created xsi:type="dcterms:W3CDTF">2011-12-03T12:10:50Z</dcterms:created>
  <dcterms:modified xsi:type="dcterms:W3CDTF">2012-01-05T13:49:46Z</dcterms:modified>
  <cp:category/>
  <cp:version/>
  <cp:contentType/>
  <cp:contentStatus/>
</cp:coreProperties>
</file>